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TED Ukraine\12. REACH\GCA Assessment\Sampling\"/>
    </mc:Choice>
  </mc:AlternateContent>
  <bookViews>
    <workbookView xWindow="9630" yWindow="1170" windowWidth="27420" windowHeight="14310" firstSheet="2" activeTab="2"/>
  </bookViews>
  <sheets>
    <sheet name="Total Sample" sheetId="5" state="hidden" r:id="rId1"/>
    <sheet name="Population Dataset" sheetId="1" state="hidden" r:id="rId2"/>
    <sheet name="TotalSamples" sheetId="10" r:id="rId3"/>
    <sheet name="POP_DataSet" sheetId="7" r:id="rId4"/>
    <sheet name="Donetsk" sheetId="8" r:id="rId5"/>
    <sheet name="Luhansk" sheetId="9" r:id="rId6"/>
  </sheets>
  <definedNames>
    <definedName name="_xlnm._FilterDatabase" localSheetId="4" hidden="1">Donetsk!$A$1:$N$29</definedName>
    <definedName name="_xlnm._FilterDatabase" localSheetId="5" hidden="1">Luhansk!$A$1:$N$1</definedName>
    <definedName name="_xlnm._FilterDatabase" localSheetId="3" hidden="1">POP_DataSet!$A$1:$E$44</definedName>
    <definedName name="_xlnm._FilterDatabase" localSheetId="1" hidden="1">'Population Dataset'!$A$1:$R$44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0" l="1"/>
  <c r="K2" i="10"/>
  <c r="K30" i="10"/>
  <c r="K47" i="10"/>
  <c r="O2" i="10"/>
  <c r="G30" i="10"/>
  <c r="I30" i="10"/>
  <c r="L44" i="10"/>
  <c r="M44" i="10"/>
  <c r="L43" i="10"/>
  <c r="M43" i="10"/>
  <c r="L42" i="10"/>
  <c r="M42" i="10"/>
  <c r="E42" i="10"/>
  <c r="L41" i="10"/>
  <c r="M41" i="10"/>
  <c r="L40" i="10"/>
  <c r="M40" i="10"/>
  <c r="E40" i="10"/>
  <c r="L39" i="10"/>
  <c r="M39" i="10"/>
  <c r="E39" i="10"/>
  <c r="L38" i="10"/>
  <c r="M38" i="10"/>
  <c r="L37" i="10"/>
  <c r="M37" i="10"/>
  <c r="L36" i="10"/>
  <c r="M36" i="10"/>
  <c r="L35" i="10"/>
  <c r="M35" i="10"/>
  <c r="E35" i="10"/>
  <c r="L34" i="10"/>
  <c r="M34" i="10"/>
  <c r="L33" i="10"/>
  <c r="M33" i="10"/>
  <c r="L32" i="10"/>
  <c r="M32" i="10"/>
  <c r="L31" i="10"/>
  <c r="M31" i="10"/>
  <c r="L30" i="10"/>
  <c r="M30" i="10"/>
  <c r="E30" i="10"/>
  <c r="L29" i="10"/>
  <c r="M29" i="10"/>
  <c r="L28" i="10"/>
  <c r="M28" i="10"/>
  <c r="L27" i="10"/>
  <c r="M27" i="10"/>
  <c r="L26" i="10"/>
  <c r="M26" i="10"/>
  <c r="L25" i="10"/>
  <c r="M25" i="10"/>
  <c r="L24" i="10"/>
  <c r="M24" i="10"/>
  <c r="L23" i="10"/>
  <c r="M23" i="10"/>
  <c r="E23" i="10"/>
  <c r="L22" i="10"/>
  <c r="M22" i="10"/>
  <c r="L21" i="10"/>
  <c r="M21" i="10"/>
  <c r="E21" i="10"/>
  <c r="L20" i="10"/>
  <c r="M20" i="10"/>
  <c r="L19" i="10"/>
  <c r="M19" i="10"/>
  <c r="L18" i="10"/>
  <c r="M18" i="10"/>
  <c r="L17" i="10"/>
  <c r="M17" i="10"/>
  <c r="L16" i="10"/>
  <c r="M16" i="10"/>
  <c r="E16" i="10"/>
  <c r="L15" i="10"/>
  <c r="M15" i="10"/>
  <c r="L14" i="10"/>
  <c r="M14" i="10"/>
  <c r="L13" i="10"/>
  <c r="M13" i="10"/>
  <c r="E13" i="10"/>
  <c r="L12" i="10"/>
  <c r="M12" i="10"/>
  <c r="E12" i="10"/>
  <c r="L11" i="10"/>
  <c r="M11" i="10"/>
  <c r="L10" i="10"/>
  <c r="M10" i="10"/>
  <c r="E10" i="10"/>
  <c r="L9" i="10"/>
  <c r="M9" i="10"/>
  <c r="L8" i="10"/>
  <c r="M8" i="10"/>
  <c r="E8" i="10"/>
  <c r="L7" i="10"/>
  <c r="M7" i="10"/>
  <c r="L6" i="10"/>
  <c r="M6" i="10"/>
  <c r="L5" i="10"/>
  <c r="M5" i="10"/>
  <c r="L4" i="10"/>
  <c r="M4" i="10"/>
  <c r="L3" i="10"/>
  <c r="M3" i="10"/>
  <c r="M2" i="10"/>
  <c r="I2" i="10"/>
  <c r="G2" i="10"/>
  <c r="E2" i="10"/>
  <c r="K2" i="9"/>
  <c r="L15" i="9"/>
  <c r="M15" i="9"/>
  <c r="L16" i="9"/>
  <c r="M16" i="9"/>
  <c r="L14" i="9"/>
  <c r="M14" i="9"/>
  <c r="L13" i="9"/>
  <c r="M13" i="9"/>
  <c r="L12" i="9"/>
  <c r="M12" i="9"/>
  <c r="L11" i="9"/>
  <c r="M11" i="9"/>
  <c r="L8" i="9"/>
  <c r="M8" i="9"/>
  <c r="L9" i="9"/>
  <c r="M9" i="9"/>
  <c r="L10" i="9"/>
  <c r="M10" i="9"/>
  <c r="L7" i="9"/>
  <c r="M7" i="9"/>
  <c r="L3" i="9"/>
  <c r="M3" i="9"/>
  <c r="L4" i="9"/>
  <c r="M4" i="9"/>
  <c r="L5" i="9"/>
  <c r="M5" i="9"/>
  <c r="L6" i="9"/>
  <c r="M6" i="9"/>
  <c r="L2" i="9"/>
  <c r="M2" i="9"/>
  <c r="K2" i="8"/>
  <c r="I2" i="8"/>
  <c r="E2" i="9"/>
  <c r="F2" i="9"/>
  <c r="G2" i="9"/>
  <c r="E7" i="9"/>
  <c r="F7" i="9"/>
  <c r="G7" i="9"/>
  <c r="E11" i="9"/>
  <c r="F11" i="9"/>
  <c r="G11" i="9"/>
  <c r="E12" i="9"/>
  <c r="F12" i="9"/>
  <c r="G12" i="9"/>
  <c r="E14" i="9"/>
  <c r="F14" i="9"/>
  <c r="G14" i="9"/>
  <c r="H2" i="9"/>
  <c r="D18" i="9"/>
  <c r="G2" i="8"/>
  <c r="L29" i="8"/>
  <c r="M29" i="8"/>
  <c r="L24" i="8"/>
  <c r="M24" i="8"/>
  <c r="L25" i="8"/>
  <c r="M25" i="8"/>
  <c r="L26" i="8"/>
  <c r="M26" i="8"/>
  <c r="L27" i="8"/>
  <c r="M27" i="8"/>
  <c r="L28" i="8"/>
  <c r="M28" i="8"/>
  <c r="L23" i="8"/>
  <c r="M23" i="8"/>
  <c r="L22" i="8"/>
  <c r="M22" i="8"/>
  <c r="L21" i="8"/>
  <c r="M21" i="8"/>
  <c r="L17" i="8"/>
  <c r="M17" i="8"/>
  <c r="L18" i="8"/>
  <c r="M18" i="8"/>
  <c r="L19" i="8"/>
  <c r="M19" i="8"/>
  <c r="L20" i="8"/>
  <c r="M20" i="8"/>
  <c r="L16" i="8"/>
  <c r="M16" i="8"/>
  <c r="L14" i="8"/>
  <c r="M14" i="8"/>
  <c r="L15" i="8"/>
  <c r="M15" i="8"/>
  <c r="L13" i="8"/>
  <c r="M13" i="8"/>
  <c r="L12" i="8"/>
  <c r="M12" i="8"/>
  <c r="L11" i="8"/>
  <c r="M11" i="8"/>
  <c r="L10" i="8"/>
  <c r="M10" i="8"/>
  <c r="L9" i="8"/>
  <c r="M9" i="8"/>
  <c r="L8" i="8"/>
  <c r="M8" i="8"/>
  <c r="L3" i="8"/>
  <c r="M3" i="8"/>
  <c r="L4" i="8"/>
  <c r="M4" i="8"/>
  <c r="L5" i="8"/>
  <c r="M5" i="8"/>
  <c r="L6" i="8"/>
  <c r="M6" i="8"/>
  <c r="L7" i="8"/>
  <c r="M7" i="8"/>
  <c r="L2" i="8"/>
  <c r="M2" i="8"/>
  <c r="E2" i="8"/>
  <c r="Q2" i="8"/>
  <c r="Q4" i="8"/>
  <c r="E8" i="8"/>
  <c r="R2" i="8"/>
  <c r="R4" i="8"/>
  <c r="E10" i="8"/>
  <c r="S2" i="8"/>
  <c r="S4" i="8"/>
  <c r="E12" i="8"/>
  <c r="T2" i="8"/>
  <c r="T4" i="8"/>
  <c r="E13" i="8"/>
  <c r="U2" i="8"/>
  <c r="U4" i="8"/>
  <c r="E16" i="8"/>
  <c r="V2" i="8"/>
  <c r="V4" i="8"/>
  <c r="E21" i="8"/>
  <c r="W2" i="8"/>
  <c r="W4" i="8"/>
  <c r="E23" i="8"/>
  <c r="X2" i="8"/>
  <c r="X4" i="8"/>
  <c r="Y2" i="8"/>
  <c r="Y4" i="8"/>
  <c r="AA4" i="8"/>
  <c r="Q11" i="8"/>
  <c r="Q10" i="8"/>
  <c r="R8" i="8"/>
  <c r="S8" i="8"/>
  <c r="T8" i="8"/>
  <c r="U8" i="8"/>
  <c r="V8" i="8"/>
  <c r="W8" i="8"/>
  <c r="X8" i="8"/>
  <c r="Y8" i="8"/>
  <c r="Q8" i="8"/>
  <c r="AC4" i="8"/>
  <c r="W18" i="8"/>
  <c r="AC2" i="8"/>
  <c r="D30" i="8"/>
  <c r="C41" i="8"/>
  <c r="H48" i="5"/>
  <c r="D48" i="5"/>
  <c r="E11" i="1"/>
  <c r="E2" i="1"/>
  <c r="E2" i="5"/>
  <c r="G2" i="5"/>
  <c r="E3" i="5"/>
  <c r="G3" i="5"/>
  <c r="E4" i="5"/>
  <c r="G4" i="5"/>
  <c r="E5" i="5"/>
  <c r="G5" i="5"/>
  <c r="E6" i="5"/>
  <c r="G6" i="5"/>
  <c r="E7" i="5"/>
  <c r="G7" i="5"/>
  <c r="E8" i="5"/>
  <c r="G8" i="5"/>
  <c r="E9" i="5"/>
  <c r="G9" i="5"/>
  <c r="E10" i="5"/>
  <c r="G10" i="5"/>
  <c r="E11" i="5"/>
  <c r="G11" i="5"/>
  <c r="E12" i="5"/>
  <c r="G12" i="5"/>
  <c r="E13" i="5"/>
  <c r="G13" i="5"/>
  <c r="E14" i="5"/>
  <c r="G14" i="5"/>
  <c r="K2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K15" i="5"/>
  <c r="E24" i="5"/>
  <c r="G24" i="5"/>
  <c r="E25" i="5"/>
  <c r="G25" i="5"/>
  <c r="E26" i="5"/>
  <c r="G26" i="5"/>
  <c r="E27" i="5"/>
  <c r="G27" i="5"/>
  <c r="E28" i="5"/>
  <c r="G28" i="5"/>
  <c r="E29" i="5"/>
  <c r="G29" i="5"/>
  <c r="K24" i="5"/>
  <c r="L2" i="5"/>
  <c r="E30" i="5"/>
  <c r="G30" i="5"/>
  <c r="E31" i="5"/>
  <c r="G31" i="5"/>
  <c r="E32" i="5"/>
  <c r="G32" i="5"/>
  <c r="K30" i="5"/>
  <c r="E33" i="5"/>
  <c r="G33" i="5"/>
  <c r="E34" i="5"/>
  <c r="G34" i="5"/>
  <c r="E35" i="5"/>
  <c r="G35" i="5"/>
  <c r="E36" i="5"/>
  <c r="G36" i="5"/>
  <c r="E37" i="5"/>
  <c r="G37" i="5"/>
  <c r="E38" i="5"/>
  <c r="G38" i="5"/>
  <c r="E39" i="5"/>
  <c r="G39" i="5"/>
  <c r="E40" i="5"/>
  <c r="G40" i="5"/>
  <c r="E41" i="5"/>
  <c r="G41" i="5"/>
  <c r="K33" i="5"/>
  <c r="E42" i="5"/>
  <c r="G42" i="5"/>
  <c r="E43" i="5"/>
  <c r="G43" i="5"/>
  <c r="E44" i="5"/>
  <c r="G44" i="5"/>
  <c r="K42" i="5"/>
  <c r="L30" i="5"/>
  <c r="M2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H2" i="5"/>
  <c r="F15" i="5"/>
  <c r="F16" i="5"/>
  <c r="F17" i="5"/>
  <c r="F18" i="5"/>
  <c r="F19" i="5"/>
  <c r="F20" i="5"/>
  <c r="F21" i="5"/>
  <c r="F22" i="5"/>
  <c r="F23" i="5"/>
  <c r="H15" i="5"/>
  <c r="F24" i="5"/>
  <c r="F25" i="5"/>
  <c r="F26" i="5"/>
  <c r="F27" i="5"/>
  <c r="F28" i="5"/>
  <c r="F29" i="5"/>
  <c r="H24" i="5"/>
  <c r="I2" i="5"/>
  <c r="F30" i="5"/>
  <c r="F31" i="5"/>
  <c r="F32" i="5"/>
  <c r="H30" i="5"/>
  <c r="F33" i="5"/>
  <c r="F34" i="5"/>
  <c r="F35" i="5"/>
  <c r="F36" i="5"/>
  <c r="F37" i="5"/>
  <c r="F38" i="5"/>
  <c r="F39" i="5"/>
  <c r="F40" i="5"/>
  <c r="F41" i="5"/>
  <c r="H33" i="5"/>
  <c r="F42" i="5"/>
  <c r="F43" i="5"/>
  <c r="F44" i="5"/>
  <c r="H42" i="5"/>
  <c r="I30" i="5"/>
  <c r="J2" i="5"/>
  <c r="N8" i="1"/>
  <c r="N11" i="1"/>
  <c r="N2" i="1"/>
  <c r="N12" i="1"/>
  <c r="N13" i="1"/>
  <c r="N30" i="1"/>
  <c r="N31" i="1"/>
  <c r="N32" i="1"/>
  <c r="N10" i="1"/>
  <c r="N33" i="1"/>
  <c r="N3" i="1"/>
  <c r="N34" i="1"/>
  <c r="N35" i="1"/>
  <c r="N15" i="1"/>
  <c r="N16" i="1"/>
  <c r="N17" i="1"/>
  <c r="N37" i="1"/>
  <c r="N4" i="1"/>
  <c r="N38" i="1"/>
  <c r="N18" i="1"/>
  <c r="N19" i="1"/>
  <c r="N5" i="1"/>
  <c r="N39" i="1"/>
  <c r="N20" i="1"/>
  <c r="N21" i="1"/>
  <c r="N22" i="1"/>
  <c r="N6" i="1"/>
  <c r="N40" i="1"/>
  <c r="N41" i="1"/>
  <c r="N42" i="1"/>
  <c r="N43" i="1"/>
  <c r="N23" i="1"/>
  <c r="N7" i="1"/>
  <c r="N25" i="1"/>
  <c r="N26" i="1"/>
  <c r="N27" i="1"/>
  <c r="N28" i="1"/>
  <c r="N44" i="1"/>
  <c r="N9" i="1"/>
  <c r="N29" i="1"/>
  <c r="O13" i="1"/>
</calcChain>
</file>

<file path=xl/sharedStrings.xml><?xml version="1.0" encoding="utf-8"?>
<sst xmlns="http://schemas.openxmlformats.org/spreadsheetml/2006/main" count="764" uniqueCount="158">
  <si>
    <t>Raion</t>
  </si>
  <si>
    <t>Calling Organisation</t>
  </si>
  <si>
    <t>Source/Key Informant</t>
  </si>
  <si>
    <t>Oblast</t>
  </si>
  <si>
    <t># Unregistered IDPs</t>
  </si>
  <si>
    <t># Total IDPs permanently living in the Raion</t>
  </si>
  <si>
    <t># IDPs who left since January</t>
  </si>
  <si>
    <t># Returnees</t>
  </si>
  <si>
    <t>KOATUU4</t>
  </si>
  <si>
    <t>Avdiivska</t>
  </si>
  <si>
    <t>PIN</t>
  </si>
  <si>
    <t>Donetska</t>
  </si>
  <si>
    <t>N/A</t>
  </si>
  <si>
    <t>Artemivska</t>
  </si>
  <si>
    <t>Dzerzhynska</t>
  </si>
  <si>
    <t>ADRA</t>
  </si>
  <si>
    <t>Department of Labor and Social Protection of the regional state administration</t>
  </si>
  <si>
    <t>Dymytrivska</t>
  </si>
  <si>
    <t>R2P</t>
  </si>
  <si>
    <t>Dobropilska</t>
  </si>
  <si>
    <t>Druzhkivska</t>
  </si>
  <si>
    <t>Mariupolska</t>
  </si>
  <si>
    <t>Kostiantynivska</t>
  </si>
  <si>
    <t>Kramatorska</t>
  </si>
  <si>
    <t>Adviser of the governor of the Donetsk region on social issues</t>
  </si>
  <si>
    <t>Krasnoarmiiska</t>
  </si>
  <si>
    <t>ADRA/R2P</t>
  </si>
  <si>
    <t>Krasnolymanska</t>
  </si>
  <si>
    <t>Novohrodivska</t>
  </si>
  <si>
    <t>Selydivska</t>
  </si>
  <si>
    <t>Slovianska</t>
  </si>
  <si>
    <t>Vuhledarska</t>
  </si>
  <si>
    <t>Oleksandrivskyi</t>
  </si>
  <si>
    <t>Artemivskyi</t>
  </si>
  <si>
    <t>Velykonovosilkivskyi</t>
  </si>
  <si>
    <t>Department of Social services</t>
  </si>
  <si>
    <t>17 935</t>
  </si>
  <si>
    <t>Volnovaskyi</t>
  </si>
  <si>
    <t>36391; ADRA-36 588</t>
  </si>
  <si>
    <t>Volodarskyi</t>
  </si>
  <si>
    <t>Dobropilskyi</t>
  </si>
  <si>
    <t>Kostiantynivskyi</t>
  </si>
  <si>
    <t>Krasnoarmiiskyi</t>
  </si>
  <si>
    <t>DRC Protection</t>
  </si>
  <si>
    <t>Krasnolymanskyi</t>
  </si>
  <si>
    <t>Marinskyi</t>
  </si>
  <si>
    <t>DRC - Department of Social services</t>
  </si>
  <si>
    <t>DRC-21000, ADRA: 21689</t>
  </si>
  <si>
    <t>Pershotravnevyi</t>
  </si>
  <si>
    <t>DRC-10770; ADRA-11059</t>
  </si>
  <si>
    <t>Slovianskyi</t>
  </si>
  <si>
    <t>Yasynuvatskyi</t>
  </si>
  <si>
    <t>Lysychanska</t>
  </si>
  <si>
    <t>NRC</t>
  </si>
  <si>
    <t>Local authorities</t>
  </si>
  <si>
    <t>Luhanska</t>
  </si>
  <si>
    <t>Rubizhanska</t>
  </si>
  <si>
    <t>Local authorities, LNGO, Volunteers</t>
  </si>
  <si>
    <t>Sievierodonetska</t>
  </si>
  <si>
    <t>Bilovodskyi</t>
  </si>
  <si>
    <t>Bilokurakynskyi</t>
  </si>
  <si>
    <t>Kreminskyi</t>
  </si>
  <si>
    <t>Local authorities, Volunteers</t>
  </si>
  <si>
    <t>Markivskyi</t>
  </si>
  <si>
    <t>Local authorities, community mobilizer</t>
  </si>
  <si>
    <t>Milovskyi</t>
  </si>
  <si>
    <t>Novoaidarskyi</t>
  </si>
  <si>
    <t>Novopskovskyi</t>
  </si>
  <si>
    <t>Popasnianskyi</t>
  </si>
  <si>
    <t>Svativskyi</t>
  </si>
  <si>
    <t>Stanychno-Luhanskyi</t>
  </si>
  <si>
    <t>Local authorities, volunteers</t>
  </si>
  <si>
    <t>Starobilskyi</t>
  </si>
  <si>
    <t>23504 (18446 HHs)</t>
  </si>
  <si>
    <t>Troitskyi</t>
  </si>
  <si>
    <t>2795 (1978 HHs)</t>
  </si>
  <si>
    <t>PIN/R2P</t>
  </si>
  <si>
    <t>town</t>
  </si>
  <si>
    <t>raion</t>
  </si>
  <si>
    <t>Department of Social Protection and Monitors estimation</t>
  </si>
  <si>
    <t xml:space="preserve">Department of Social Protection </t>
  </si>
  <si>
    <t>Department of Social services and Monitors estimation</t>
  </si>
  <si>
    <t xml:space="preserve">R2P </t>
  </si>
  <si>
    <t>PIN: 600; R2P: 559</t>
  </si>
  <si>
    <t xml:space="preserve">ADRA/R2P </t>
  </si>
  <si>
    <t>2159 HHs (DSS calculated it as nember of families with documents from local school, work, dwelling)</t>
  </si>
  <si>
    <t>DRC: 8265 ADRA: 8284 (offial letter received)</t>
  </si>
  <si>
    <t>% residing / registed</t>
  </si>
  <si>
    <t>DRC/R2P</t>
  </si>
  <si>
    <t>Specify Raion/ Town</t>
  </si>
  <si>
    <t xml:space="preserve"># Registered IDPs </t>
  </si>
  <si>
    <t xml:space="preserve"> # Registered IDPs as of 6 May</t>
  </si>
  <si>
    <t>Donetsk</t>
  </si>
  <si>
    <t>Type Urban/Rural</t>
  </si>
  <si>
    <t>Urban</t>
  </si>
  <si>
    <t>Rural</t>
  </si>
  <si>
    <t>urban</t>
  </si>
  <si>
    <t>rural</t>
  </si>
  <si>
    <t>Contact line</t>
  </si>
  <si>
    <t>y</t>
  </si>
  <si>
    <t>Contact Line</t>
  </si>
  <si>
    <t>Strata</t>
  </si>
  <si>
    <t>Weight of raion</t>
  </si>
  <si>
    <t>Luhansk</t>
  </si>
  <si>
    <t>Total sample by strata (90/5)</t>
  </si>
  <si>
    <t>Raion-level weighted sample size (90/5)</t>
  </si>
  <si>
    <t>Raion-level weighted sample size (90/7)</t>
  </si>
  <si>
    <t>Total sample by oblast (90/5)</t>
  </si>
  <si>
    <t>Total No. of samples (90/5)</t>
  </si>
  <si>
    <t>Total sample by strata (90/7)</t>
  </si>
  <si>
    <t>Total sample by oblast (90/7)</t>
  </si>
  <si>
    <t>Total No. of samples (90/7)</t>
  </si>
  <si>
    <t>% of total of population</t>
  </si>
  <si>
    <t>95/5</t>
  </si>
  <si>
    <t>Total sample by strata (92/5)</t>
  </si>
  <si>
    <t>Shelter cluster grouping</t>
  </si>
  <si>
    <t>Rural Donetsk #3</t>
  </si>
  <si>
    <t>Rural Luhansk #1</t>
  </si>
  <si>
    <t>Rural Luhansk #2</t>
  </si>
  <si>
    <t>Rural Donetsk #2</t>
  </si>
  <si>
    <t>Kramatorsk / Druzhkivka</t>
  </si>
  <si>
    <t>Dymytrov / Krasnoarmiisk</t>
  </si>
  <si>
    <t>Dzerzhynsk / Kostiantynivka</t>
  </si>
  <si>
    <t>Rural Donetsk #1</t>
  </si>
  <si>
    <t>Severodonetsk</t>
  </si>
  <si>
    <t>Rural Donetsk #4</t>
  </si>
  <si>
    <t>Mariupol</t>
  </si>
  <si>
    <t>Rural Luhansk #4</t>
  </si>
  <si>
    <t>Rural Luhansk #3</t>
  </si>
  <si>
    <t>Sloviansk</t>
  </si>
  <si>
    <t>District</t>
  </si>
  <si>
    <t>oblast</t>
  </si>
  <si>
    <t>TOTAL</t>
  </si>
  <si>
    <t>95/5 Oblast</t>
  </si>
  <si>
    <t># Total population for each strata</t>
  </si>
  <si>
    <t>WEIGHTS</t>
  </si>
  <si>
    <t>Total Pop</t>
  </si>
  <si>
    <t># samples</t>
  </si>
  <si>
    <t>99/5</t>
  </si>
  <si>
    <t>For 90/10</t>
  </si>
  <si>
    <t>90/6</t>
  </si>
  <si>
    <t>Total:662</t>
  </si>
  <si>
    <t>Total:384</t>
  </si>
  <si>
    <t>Strata (Raion Group)</t>
  </si>
  <si>
    <t>Strata level sample size (90/10)</t>
  </si>
  <si>
    <t>Combined oblast and strata level</t>
  </si>
  <si>
    <t>Oblast level sample size (95/5)</t>
  </si>
  <si>
    <t>Oblast level sample</t>
  </si>
  <si>
    <t>95/5 Oblast level</t>
  </si>
  <si>
    <t>Weight of strata</t>
  </si>
  <si>
    <t>TOTAL POP</t>
  </si>
  <si>
    <t>TOTAL 95/5 SAMPLE</t>
  </si>
  <si>
    <t>Total Strata level sample size (90/10)</t>
  </si>
  <si>
    <t>Total Combined sample size</t>
  </si>
  <si>
    <t>Oblast level sample size by strata (95/5)</t>
  </si>
  <si>
    <t>Total Oblast level sample size (95/5)</t>
  </si>
  <si>
    <t>Total combined sample size</t>
  </si>
  <si>
    <t>Combined sample size per raion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</si>
</sst>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Arial"/>
    </font>
    <font>
      <b/>
      <sz val="12"/>
      <color theme="1"/>
      <name val="Arial Narrow"/>
      <family val="2"/>
    </font>
    <font>
      <sz val="12"/>
      <color rgb="FF000000"/>
      <name val="Arial"/>
    </font>
    <font>
      <sz val="12"/>
      <color theme="1"/>
      <name val="Arial Narrow"/>
      <family val="2"/>
    </font>
    <font>
      <b/>
      <sz val="12"/>
      <color theme="1"/>
      <name val="Arial"/>
    </font>
    <font>
      <sz val="12"/>
      <color theme="1"/>
      <name val="Arial"/>
    </font>
    <font>
      <sz val="12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Arial Narrow"/>
      <family val="2"/>
    </font>
    <font>
      <b/>
      <sz val="12"/>
      <color rgb="FFFFFFFF"/>
      <name val="Calibri"/>
      <family val="2"/>
    </font>
    <font>
      <sz val="12"/>
      <color rgb="FF000000"/>
      <name val="Arial Narrow"/>
    </font>
    <font>
      <sz val="12"/>
      <name val="Arial Narrow"/>
    </font>
    <font>
      <b/>
      <sz val="12"/>
      <name val="Arial Narrow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3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0" fontId="1" fillId="0" borderId="0" xfId="0" applyFont="1" applyFill="1" applyAlignment="1"/>
    <xf numFmtId="0" fontId="4" fillId="0" borderId="0" xfId="0" applyFont="1" applyAlignment="1"/>
    <xf numFmtId="0" fontId="1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9" fontId="4" fillId="4" borderId="0" xfId="1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2" borderId="0" xfId="0" applyFont="1" applyFill="1" applyAlignment="1"/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0" xfId="0" applyFont="1" applyAlignment="1">
      <alignment wrapText="1"/>
    </xf>
    <xf numFmtId="0" fontId="10" fillId="0" borderId="10" xfId="0" applyFont="1" applyBorder="1" applyAlignment="1"/>
    <xf numFmtId="0" fontId="12" fillId="0" borderId="11" xfId="0" applyNumberFormat="1" applyFont="1" applyFill="1" applyBorder="1" applyAlignment="1">
      <alignment horizontal="right"/>
    </xf>
    <xf numFmtId="1" fontId="11" fillId="0" borderId="11" xfId="0" applyNumberFormat="1" applyFont="1" applyBorder="1" applyAlignment="1"/>
    <xf numFmtId="0" fontId="10" fillId="0" borderId="13" xfId="0" applyFont="1" applyBorder="1" applyAlignment="1"/>
    <xf numFmtId="0" fontId="12" fillId="0" borderId="0" xfId="0" applyNumberFormat="1" applyFont="1" applyFill="1" applyBorder="1" applyAlignment="1">
      <alignment horizontal="right"/>
    </xf>
    <xf numFmtId="1" fontId="11" fillId="0" borderId="0" xfId="0" applyNumberFormat="1" applyFont="1" applyBorder="1" applyAlignment="1"/>
    <xf numFmtId="1" fontId="11" fillId="0" borderId="8" xfId="0" applyNumberFormat="1" applyFont="1" applyBorder="1" applyAlignment="1"/>
    <xf numFmtId="0" fontId="10" fillId="0" borderId="7" xfId="0" applyFont="1" applyBorder="1" applyAlignment="1"/>
    <xf numFmtId="0" fontId="12" fillId="0" borderId="1" xfId="0" applyNumberFormat="1" applyFont="1" applyFill="1" applyBorder="1" applyAlignment="1">
      <alignment horizontal="right"/>
    </xf>
    <xf numFmtId="0" fontId="9" fillId="7" borderId="2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/>
    <xf numFmtId="2" fontId="11" fillId="0" borderId="5" xfId="0" applyNumberFormat="1" applyFont="1" applyBorder="1" applyAlignment="1"/>
    <xf numFmtId="2" fontId="11" fillId="0" borderId="6" xfId="0" applyNumberFormat="1" applyFont="1" applyBorder="1" applyAlignment="1"/>
    <xf numFmtId="1" fontId="11" fillId="0" borderId="4" xfId="0" applyNumberFormat="1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0" fontId="14" fillId="0" borderId="5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4" fillId="0" borderId="4" xfId="0" applyNumberFormat="1" applyFont="1" applyFill="1" applyBorder="1" applyAlignment="1">
      <alignment horizontal="right"/>
    </xf>
    <xf numFmtId="0" fontId="14" fillId="0" borderId="6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/>
    <xf numFmtId="0" fontId="13" fillId="0" borderId="5" xfId="0" applyFont="1" applyFill="1" applyBorder="1" applyAlignment="1"/>
    <xf numFmtId="0" fontId="13" fillId="0" borderId="4" xfId="0" applyFont="1" applyBorder="1" applyAlignment="1"/>
    <xf numFmtId="0" fontId="13" fillId="0" borderId="6" xfId="0" applyFont="1" applyBorder="1" applyAlignment="1"/>
    <xf numFmtId="0" fontId="13" fillId="7" borderId="2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/>
    <xf numFmtId="1" fontId="11" fillId="0" borderId="14" xfId="0" applyNumberFormat="1" applyFont="1" applyBorder="1" applyAlignment="1"/>
    <xf numFmtId="0" fontId="9" fillId="11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12" borderId="2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top" wrapText="1"/>
    </xf>
    <xf numFmtId="0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/>
    <xf numFmtId="0" fontId="4" fillId="3" borderId="0" xfId="0" applyFont="1" applyFill="1" applyBorder="1" applyAlignment="1"/>
    <xf numFmtId="0" fontId="16" fillId="13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0" fillId="6" borderId="0" xfId="0" applyFont="1" applyFill="1" applyAlignment="1">
      <alignment vertical="top" wrapText="1"/>
    </xf>
    <xf numFmtId="0" fontId="10" fillId="5" borderId="0" xfId="0" applyNumberFormat="1" applyFont="1" applyFill="1" applyAlignment="1">
      <alignment vertical="top" wrapText="1"/>
    </xf>
    <xf numFmtId="0" fontId="10" fillId="0" borderId="0" xfId="0" applyFont="1" applyAlignment="1"/>
    <xf numFmtId="0" fontId="19" fillId="0" borderId="0" xfId="8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Font="1" applyAlignment="1"/>
    <xf numFmtId="0" fontId="10" fillId="15" borderId="0" xfId="0" applyFont="1" applyFill="1" applyAlignment="1"/>
    <xf numFmtId="0" fontId="10" fillId="0" borderId="0" xfId="0" applyFont="1" applyFill="1" applyAlignment="1"/>
    <xf numFmtId="0" fontId="19" fillId="14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Border="1" applyAlignment="1"/>
    <xf numFmtId="0" fontId="12" fillId="3" borderId="0" xfId="0" applyFont="1" applyFill="1" applyBorder="1" applyAlignment="1"/>
    <xf numFmtId="0" fontId="12" fillId="3" borderId="0" xfId="0" applyFont="1" applyFill="1" applyAlignment="1"/>
    <xf numFmtId="0" fontId="10" fillId="16" borderId="0" xfId="0" applyFont="1" applyFill="1" applyAlignment="1"/>
    <xf numFmtId="0" fontId="20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Alignment="1"/>
    <xf numFmtId="0" fontId="21" fillId="17" borderId="0" xfId="0" applyFont="1" applyFill="1" applyAlignment="1">
      <alignment horizontal="center" vertical="center" wrapText="1"/>
    </xf>
    <xf numFmtId="0" fontId="22" fillId="18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NumberFormat="1" applyFont="1" applyFill="1" applyBorder="1" applyAlignment="1">
      <alignment horizontal="right"/>
    </xf>
    <xf numFmtId="0" fontId="10" fillId="0" borderId="2" xfId="0" applyFont="1" applyBorder="1" applyAlignment="1"/>
    <xf numFmtId="0" fontId="10" fillId="0" borderId="2" xfId="0" applyFont="1" applyFill="1" applyBorder="1" applyAlignment="1"/>
    <xf numFmtId="0" fontId="19" fillId="0" borderId="2" xfId="8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0" fontId="11" fillId="16" borderId="0" xfId="0" applyFont="1" applyFill="1" applyAlignment="1"/>
    <xf numFmtId="0" fontId="12" fillId="0" borderId="2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" xfId="0" applyFont="1" applyBorder="1" applyAlignment="1"/>
    <xf numFmtId="2" fontId="11" fillId="0" borderId="2" xfId="0" applyNumberFormat="1" applyFont="1" applyBorder="1" applyAlignment="1"/>
    <xf numFmtId="0" fontId="11" fillId="12" borderId="2" xfId="0" applyFont="1" applyFill="1" applyBorder="1" applyAlignment="1">
      <alignment vertical="center"/>
    </xf>
    <xf numFmtId="0" fontId="11" fillId="12" borderId="2" xfId="0" applyFont="1" applyFill="1" applyBorder="1" applyAlignment="1">
      <alignment wrapText="1"/>
    </xf>
    <xf numFmtId="0" fontId="11" fillId="12" borderId="2" xfId="0" applyFont="1" applyFill="1" applyBorder="1" applyAlignment="1"/>
    <xf numFmtId="2" fontId="11" fillId="0" borderId="3" xfId="0" applyNumberFormat="1" applyFont="1" applyBorder="1" applyAlignment="1"/>
    <xf numFmtId="1" fontId="11" fillId="0" borderId="0" xfId="0" applyNumberFormat="1" applyFont="1" applyAlignment="1"/>
    <xf numFmtId="1" fontId="11" fillId="0" borderId="3" xfId="0" applyNumberFormat="1" applyFont="1" applyBorder="1" applyAlignment="1"/>
    <xf numFmtId="1" fontId="12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1" fillId="17" borderId="2" xfId="0" applyFont="1" applyFill="1" applyBorder="1" applyAlignment="1">
      <alignment horizontal="center" vertical="center" wrapText="1"/>
    </xf>
    <xf numFmtId="0" fontId="21" fillId="19" borderId="2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right" vertical="center" wrapText="1"/>
    </xf>
    <xf numFmtId="0" fontId="12" fillId="0" borderId="14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1" fillId="19" borderId="4" xfId="0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center"/>
    </xf>
    <xf numFmtId="0" fontId="12" fillId="0" borderId="12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0" fillId="0" borderId="14" xfId="0" applyFont="1" applyBorder="1" applyAlignment="1"/>
    <xf numFmtId="0" fontId="12" fillId="0" borderId="21" xfId="0" applyNumberFormat="1" applyFont="1" applyFill="1" applyBorder="1" applyAlignment="1">
      <alignment horizontal="right"/>
    </xf>
    <xf numFmtId="0" fontId="12" fillId="0" borderId="3" xfId="0" applyFont="1" applyBorder="1" applyAlignment="1"/>
    <xf numFmtId="0" fontId="10" fillId="5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/>
    <xf numFmtId="0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21" fillId="19" borderId="14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/>
    </xf>
    <xf numFmtId="0" fontId="21" fillId="19" borderId="12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right"/>
    </xf>
    <xf numFmtId="1" fontId="12" fillId="0" borderId="12" xfId="0" applyNumberFormat="1" applyFont="1" applyFill="1" applyBorder="1" applyAlignment="1">
      <alignment horizontal="right"/>
    </xf>
    <xf numFmtId="1" fontId="12" fillId="0" borderId="2" xfId="0" applyNumberFormat="1" applyFont="1" applyFill="1" applyBorder="1" applyAlignment="1">
      <alignment horizontal="right"/>
    </xf>
    <xf numFmtId="0" fontId="12" fillId="0" borderId="29" xfId="0" applyNumberFormat="1" applyFont="1" applyFill="1" applyBorder="1" applyAlignment="1">
      <alignment horizontal="center" vertical="center"/>
    </xf>
    <xf numFmtId="0" fontId="21" fillId="19" borderId="31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righ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4" fillId="10" borderId="2" xfId="8" applyFont="1" applyFill="1" applyBorder="1" applyAlignment="1">
      <alignment horizontal="center" vertical="center" wrapText="1"/>
    </xf>
    <xf numFmtId="0" fontId="10" fillId="9" borderId="2" xfId="0" applyFont="1" applyFill="1" applyBorder="1" applyAlignment="1"/>
    <xf numFmtId="0" fontId="10" fillId="10" borderId="2" xfId="0" applyFont="1" applyFill="1" applyBorder="1" applyAlignment="1"/>
    <xf numFmtId="0" fontId="10" fillId="21" borderId="2" xfId="0" applyFont="1" applyFill="1" applyBorder="1" applyAlignment="1"/>
    <xf numFmtId="0" fontId="10" fillId="4" borderId="2" xfId="0" applyFont="1" applyFill="1" applyBorder="1" applyAlignment="1"/>
    <xf numFmtId="0" fontId="21" fillId="22" borderId="2" xfId="0" applyFont="1" applyFill="1" applyBorder="1" applyAlignment="1">
      <alignment horizontal="center" vertical="center" wrapText="1"/>
    </xf>
    <xf numFmtId="0" fontId="25" fillId="22" borderId="2" xfId="0" applyFont="1" applyFill="1" applyBorder="1" applyAlignment="1" applyProtection="1">
      <alignment horizontal="center" vertical="center"/>
      <protection locked="0"/>
    </xf>
    <xf numFmtId="0" fontId="24" fillId="9" borderId="2" xfId="8" applyFont="1" applyFill="1" applyBorder="1" applyAlignment="1">
      <alignment horizontal="center" vertical="center" wrapText="1"/>
    </xf>
    <xf numFmtId="0" fontId="24" fillId="21" borderId="2" xfId="8" applyFont="1" applyFill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right"/>
    </xf>
    <xf numFmtId="0" fontId="12" fillId="9" borderId="2" xfId="0" applyNumberFormat="1" applyFont="1" applyFill="1" applyBorder="1" applyAlignment="1">
      <alignment horizontal="center"/>
    </xf>
    <xf numFmtId="0" fontId="12" fillId="9" borderId="14" xfId="0" applyNumberFormat="1" applyFont="1" applyFill="1" applyBorder="1" applyAlignment="1">
      <alignment horizontal="center"/>
    </xf>
    <xf numFmtId="0" fontId="12" fillId="9" borderId="19" xfId="0" applyNumberFormat="1" applyFont="1" applyFill="1" applyBorder="1" applyAlignment="1">
      <alignment horizontal="center"/>
    </xf>
    <xf numFmtId="0" fontId="12" fillId="10" borderId="2" xfId="0" applyNumberFormat="1" applyFont="1" applyFill="1" applyBorder="1" applyAlignment="1">
      <alignment horizontal="right"/>
    </xf>
    <xf numFmtId="0" fontId="12" fillId="10" borderId="2" xfId="0" applyNumberFormat="1" applyFont="1" applyFill="1" applyBorder="1" applyAlignment="1">
      <alignment horizontal="center"/>
    </xf>
    <xf numFmtId="0" fontId="12" fillId="10" borderId="14" xfId="0" applyNumberFormat="1" applyFont="1" applyFill="1" applyBorder="1" applyAlignment="1">
      <alignment horizontal="center"/>
    </xf>
    <xf numFmtId="0" fontId="12" fillId="10" borderId="20" xfId="0" applyNumberFormat="1" applyFont="1" applyFill="1" applyBorder="1" applyAlignment="1">
      <alignment horizontal="center"/>
    </xf>
    <xf numFmtId="0" fontId="12" fillId="21" borderId="2" xfId="0" applyNumberFormat="1" applyFont="1" applyFill="1" applyBorder="1" applyAlignment="1">
      <alignment horizontal="center" vertical="center"/>
    </xf>
    <xf numFmtId="2" fontId="12" fillId="21" borderId="2" xfId="0" applyNumberFormat="1" applyFont="1" applyFill="1" applyBorder="1" applyAlignment="1">
      <alignment horizontal="center" vertical="center"/>
    </xf>
    <xf numFmtId="0" fontId="12" fillId="21" borderId="14" xfId="0" applyNumberFormat="1" applyFont="1" applyFill="1" applyBorder="1" applyAlignment="1">
      <alignment horizontal="center" vertical="center"/>
    </xf>
    <xf numFmtId="0" fontId="12" fillId="21" borderId="29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center" vertical="center"/>
    </xf>
    <xf numFmtId="1" fontId="12" fillId="21" borderId="4" xfId="0" applyNumberFormat="1" applyFont="1" applyFill="1" applyBorder="1" applyAlignment="1">
      <alignment horizontal="center" vertical="center"/>
    </xf>
    <xf numFmtId="1" fontId="23" fillId="21" borderId="0" xfId="0" applyNumberFormat="1" applyFont="1" applyFill="1" applyAlignment="1">
      <alignment horizontal="center" vertical="center"/>
    </xf>
    <xf numFmtId="0" fontId="12" fillId="21" borderId="2" xfId="0" applyNumberFormat="1" applyFont="1" applyFill="1" applyBorder="1" applyAlignment="1">
      <alignment horizontal="right"/>
    </xf>
    <xf numFmtId="0" fontId="12" fillId="4" borderId="2" xfId="0" applyNumberFormat="1" applyFont="1" applyFill="1" applyBorder="1" applyAlignment="1">
      <alignment horizontal="right"/>
    </xf>
    <xf numFmtId="2" fontId="12" fillId="9" borderId="3" xfId="0" applyNumberFormat="1" applyFont="1" applyFill="1" applyBorder="1" applyAlignment="1">
      <alignment horizontal="center"/>
    </xf>
    <xf numFmtId="1" fontId="12" fillId="9" borderId="2" xfId="0" applyNumberFormat="1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2" fontId="12" fillId="10" borderId="3" xfId="0" applyNumberFormat="1" applyFont="1" applyFill="1" applyBorder="1" applyAlignment="1">
      <alignment horizontal="center"/>
    </xf>
    <xf numFmtId="1" fontId="12" fillId="10" borderId="2" xfId="0" applyNumberFormat="1" applyFont="1" applyFill="1" applyBorder="1" applyAlignment="1">
      <alignment horizontal="center"/>
    </xf>
    <xf numFmtId="2" fontId="12" fillId="10" borderId="3" xfId="0" applyNumberFormat="1" applyFont="1" applyFill="1" applyBorder="1" applyAlignment="1">
      <alignment horizontal="center" vertical="center"/>
    </xf>
    <xf numFmtId="1" fontId="12" fillId="21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/>
    </xf>
    <xf numFmtId="0" fontId="10" fillId="9" borderId="6" xfId="0" applyFont="1" applyFill="1" applyBorder="1" applyAlignment="1"/>
    <xf numFmtId="0" fontId="12" fillId="9" borderId="6" xfId="0" applyNumberFormat="1" applyFont="1" applyFill="1" applyBorder="1" applyAlignment="1">
      <alignment horizontal="right"/>
    </xf>
    <xf numFmtId="2" fontId="12" fillId="9" borderId="9" xfId="0" applyNumberFormat="1" applyFont="1" applyFill="1" applyBorder="1" applyAlignment="1">
      <alignment horizontal="center"/>
    </xf>
    <xf numFmtId="1" fontId="12" fillId="9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" fontId="11" fillId="10" borderId="2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5" fillId="8" borderId="2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1" fontId="11" fillId="9" borderId="2" xfId="0" applyNumberFormat="1" applyFont="1" applyFill="1" applyBorder="1" applyAlignment="1">
      <alignment horizontal="center" vertical="center"/>
    </xf>
    <xf numFmtId="1" fontId="11" fillId="8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12" fillId="8" borderId="27" xfId="0" applyNumberFormat="1" applyFont="1" applyFill="1" applyBorder="1" applyAlignment="1">
      <alignment horizontal="center" vertical="center"/>
    </xf>
    <xf numFmtId="0" fontId="12" fillId="8" borderId="26" xfId="0" applyNumberFormat="1" applyFont="1" applyFill="1" applyBorder="1" applyAlignment="1">
      <alignment horizontal="center" vertical="center"/>
    </xf>
    <xf numFmtId="0" fontId="24" fillId="9" borderId="2" xfId="8" applyFont="1" applyFill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center"/>
    </xf>
    <xf numFmtId="0" fontId="12" fillId="9" borderId="4" xfId="0" applyNumberFormat="1" applyFont="1" applyFill="1" applyBorder="1" applyAlignment="1">
      <alignment horizontal="center"/>
    </xf>
    <xf numFmtId="0" fontId="12" fillId="9" borderId="6" xfId="0" applyNumberFormat="1" applyFont="1" applyFill="1" applyBorder="1" applyAlignment="1">
      <alignment horizontal="center"/>
    </xf>
    <xf numFmtId="0" fontId="12" fillId="9" borderId="10" xfId="0" applyNumberFormat="1" applyFont="1" applyFill="1" applyBorder="1" applyAlignment="1">
      <alignment horizontal="center"/>
    </xf>
    <xf numFmtId="0" fontId="12" fillId="9" borderId="7" xfId="0" applyNumberFormat="1" applyFont="1" applyFill="1" applyBorder="1" applyAlignment="1">
      <alignment horizontal="center"/>
    </xf>
    <xf numFmtId="0" fontId="12" fillId="9" borderId="18" xfId="0" applyNumberFormat="1" applyFont="1" applyFill="1" applyBorder="1" applyAlignment="1">
      <alignment horizontal="center"/>
    </xf>
    <xf numFmtId="0" fontId="12" fillId="9" borderId="17" xfId="0" applyNumberFormat="1" applyFont="1" applyFill="1" applyBorder="1" applyAlignment="1">
      <alignment horizontal="center"/>
    </xf>
    <xf numFmtId="0" fontId="24" fillId="9" borderId="6" xfId="8" applyFont="1" applyFill="1" applyBorder="1" applyAlignment="1">
      <alignment horizontal="center" vertical="center" wrapText="1"/>
    </xf>
    <xf numFmtId="0" fontId="12" fillId="9" borderId="5" xfId="0" applyNumberFormat="1" applyFont="1" applyFill="1" applyBorder="1" applyAlignment="1">
      <alignment horizontal="center"/>
    </xf>
    <xf numFmtId="0" fontId="12" fillId="8" borderId="5" xfId="0" applyNumberFormat="1" applyFont="1" applyFill="1" applyBorder="1" applyAlignment="1">
      <alignment horizontal="center" vertical="center"/>
    </xf>
    <xf numFmtId="0" fontId="12" fillId="8" borderId="6" xfId="0" applyNumberFormat="1" applyFont="1" applyFill="1" applyBorder="1" applyAlignment="1">
      <alignment horizontal="center" vertical="center"/>
    </xf>
    <xf numFmtId="0" fontId="12" fillId="9" borderId="13" xfId="0" applyNumberFormat="1" applyFont="1" applyFill="1" applyBorder="1" applyAlignment="1">
      <alignment horizontal="center"/>
    </xf>
    <xf numFmtId="0" fontId="24" fillId="10" borderId="2" xfId="8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8" borderId="25" xfId="0" applyNumberFormat="1" applyFont="1" applyFill="1" applyBorder="1" applyAlignment="1">
      <alignment horizontal="center" vertical="center"/>
    </xf>
    <xf numFmtId="0" fontId="12" fillId="8" borderId="24" xfId="0" applyNumberFormat="1" applyFont="1" applyFill="1" applyBorder="1" applyAlignment="1">
      <alignment horizontal="center" vertical="center"/>
    </xf>
    <xf numFmtId="0" fontId="12" fillId="9" borderId="16" xfId="0" applyNumberFormat="1" applyFont="1" applyFill="1" applyBorder="1" applyAlignment="1">
      <alignment horizontal="center"/>
    </xf>
    <xf numFmtId="0" fontId="12" fillId="10" borderId="2" xfId="0" applyNumberFormat="1" applyFont="1" applyFill="1" applyBorder="1" applyAlignment="1">
      <alignment horizontal="center"/>
    </xf>
    <xf numFmtId="0" fontId="12" fillId="10" borderId="10" xfId="0" applyNumberFormat="1" applyFont="1" applyFill="1" applyBorder="1" applyAlignment="1">
      <alignment horizontal="center"/>
    </xf>
    <xf numFmtId="0" fontId="12" fillId="10" borderId="13" xfId="0" applyNumberFormat="1" applyFont="1" applyFill="1" applyBorder="1" applyAlignment="1">
      <alignment horizontal="center"/>
    </xf>
    <xf numFmtId="0" fontId="12" fillId="10" borderId="7" xfId="0" applyNumberFormat="1" applyFont="1" applyFill="1" applyBorder="1" applyAlignment="1">
      <alignment horizontal="center"/>
    </xf>
    <xf numFmtId="0" fontId="12" fillId="10" borderId="18" xfId="0" applyNumberFormat="1" applyFont="1" applyFill="1" applyBorder="1" applyAlignment="1">
      <alignment horizontal="center"/>
    </xf>
    <xf numFmtId="0" fontId="12" fillId="10" borderId="16" xfId="0" applyNumberFormat="1" applyFont="1" applyFill="1" applyBorder="1" applyAlignment="1">
      <alignment horizontal="center"/>
    </xf>
    <xf numFmtId="0" fontId="12" fillId="10" borderId="17" xfId="0" applyNumberFormat="1" applyFont="1" applyFill="1" applyBorder="1" applyAlignment="1">
      <alignment horizontal="center"/>
    </xf>
    <xf numFmtId="0" fontId="12" fillId="10" borderId="4" xfId="0" applyNumberFormat="1" applyFont="1" applyFill="1" applyBorder="1" applyAlignment="1">
      <alignment horizontal="center"/>
    </xf>
    <xf numFmtId="0" fontId="12" fillId="10" borderId="6" xfId="0" applyNumberFormat="1" applyFont="1" applyFill="1" applyBorder="1" applyAlignment="1">
      <alignment horizontal="center"/>
    </xf>
    <xf numFmtId="0" fontId="24" fillId="20" borderId="2" xfId="0" applyFont="1" applyFill="1" applyBorder="1" applyAlignment="1" applyProtection="1">
      <alignment horizontal="center" vertical="center"/>
      <protection locked="0"/>
    </xf>
    <xf numFmtId="0" fontId="24" fillId="21" borderId="2" xfId="8" applyFont="1" applyFill="1" applyBorder="1" applyAlignment="1">
      <alignment horizontal="center" vertical="center" wrapText="1"/>
    </xf>
    <xf numFmtId="0" fontId="12" fillId="21" borderId="2" xfId="0" applyNumberFormat="1" applyFont="1" applyFill="1" applyBorder="1" applyAlignment="1">
      <alignment horizontal="center" vertical="center"/>
    </xf>
    <xf numFmtId="1" fontId="12" fillId="21" borderId="4" xfId="0" applyNumberFormat="1" applyFont="1" applyFill="1" applyBorder="1" applyAlignment="1">
      <alignment horizontal="center" vertical="center"/>
    </xf>
    <xf numFmtId="1" fontId="12" fillId="21" borderId="5" xfId="0" applyNumberFormat="1" applyFont="1" applyFill="1" applyBorder="1" applyAlignment="1">
      <alignment horizontal="center" vertical="center"/>
    </xf>
    <xf numFmtId="1" fontId="12" fillId="21" borderId="6" xfId="0" applyNumberFormat="1" applyFont="1" applyFill="1" applyBorder="1" applyAlignment="1">
      <alignment horizontal="center" vertical="center"/>
    </xf>
    <xf numFmtId="0" fontId="12" fillId="10" borderId="5" xfId="0" applyNumberFormat="1" applyFont="1" applyFill="1" applyBorder="1" applyAlignment="1">
      <alignment horizontal="center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8" borderId="2" xfId="0" applyFont="1" applyFill="1" applyBorder="1" applyAlignment="1" applyProtection="1">
      <alignment horizontal="center" vertical="center"/>
      <protection locked="0"/>
    </xf>
    <xf numFmtId="0" fontId="12" fillId="20" borderId="2" xfId="0" applyNumberFormat="1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 wrapText="1"/>
    </xf>
    <xf numFmtId="0" fontId="12" fillId="21" borderId="28" xfId="0" applyNumberFormat="1" applyFont="1" applyFill="1" applyBorder="1" applyAlignment="1">
      <alignment horizontal="center" vertical="center"/>
    </xf>
    <xf numFmtId="0" fontId="12" fillId="21" borderId="22" xfId="0" applyNumberFormat="1" applyFont="1" applyFill="1" applyBorder="1" applyAlignment="1">
      <alignment horizontal="center" vertical="center"/>
    </xf>
    <xf numFmtId="0" fontId="12" fillId="21" borderId="23" xfId="0" applyNumberFormat="1" applyFont="1" applyFill="1" applyBorder="1" applyAlignment="1">
      <alignment horizontal="center" vertical="center"/>
    </xf>
    <xf numFmtId="0" fontId="12" fillId="20" borderId="32" xfId="0" applyNumberFormat="1" applyFont="1" applyFill="1" applyBorder="1" applyAlignment="1">
      <alignment horizontal="center" vertical="center"/>
    </xf>
    <xf numFmtId="0" fontId="12" fillId="20" borderId="25" xfId="0" applyNumberFormat="1" applyFont="1" applyFill="1" applyBorder="1" applyAlignment="1">
      <alignment horizontal="center" vertical="center"/>
    </xf>
    <xf numFmtId="0" fontId="12" fillId="20" borderId="24" xfId="0" applyNumberFormat="1" applyFont="1" applyFill="1" applyBorder="1" applyAlignment="1">
      <alignment horizontal="center" vertical="center"/>
    </xf>
    <xf numFmtId="0" fontId="24" fillId="4" borderId="2" xfId="8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2" fillId="4" borderId="28" xfId="0" applyNumberFormat="1" applyFont="1" applyFill="1" applyBorder="1" applyAlignment="1">
      <alignment horizontal="center" vertical="center"/>
    </xf>
    <xf numFmtId="0" fontId="12" fillId="4" borderId="22" xfId="0" applyNumberFormat="1" applyFont="1" applyFill="1" applyBorder="1" applyAlignment="1">
      <alignment horizontal="center" vertical="center"/>
    </xf>
    <xf numFmtId="0" fontId="12" fillId="4" borderId="30" xfId="0" applyNumberFormat="1" applyFont="1" applyFill="1" applyBorder="1" applyAlignment="1">
      <alignment horizontal="center" vertical="center"/>
    </xf>
    <xf numFmtId="1" fontId="12" fillId="20" borderId="4" xfId="0" applyNumberFormat="1" applyFont="1" applyFill="1" applyBorder="1" applyAlignment="1">
      <alignment horizontal="center" vertical="center"/>
    </xf>
    <xf numFmtId="1" fontId="12" fillId="20" borderId="5" xfId="0" applyNumberFormat="1" applyFont="1" applyFill="1" applyBorder="1" applyAlignment="1">
      <alignment horizontal="center" vertical="center"/>
    </xf>
    <xf numFmtId="1" fontId="12" fillId="20" borderId="6" xfId="0" applyNumberFormat="1" applyFont="1" applyFill="1" applyBorder="1" applyAlignment="1">
      <alignment horizontal="center" vertical="center"/>
    </xf>
    <xf numFmtId="0" fontId="12" fillId="21" borderId="10" xfId="0" applyNumberFormat="1" applyFont="1" applyFill="1" applyBorder="1" applyAlignment="1">
      <alignment horizontal="center" vertical="center"/>
    </xf>
    <xf numFmtId="0" fontId="12" fillId="21" borderId="13" xfId="0" applyNumberFormat="1" applyFont="1" applyFill="1" applyBorder="1" applyAlignment="1">
      <alignment horizontal="center" vertical="center"/>
    </xf>
    <xf numFmtId="0" fontId="12" fillId="21" borderId="7" xfId="0" applyNumberFormat="1" applyFont="1" applyFill="1" applyBorder="1" applyAlignment="1">
      <alignment horizontal="center" vertical="center"/>
    </xf>
    <xf numFmtId="0" fontId="12" fillId="4" borderId="10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9" fillId="0" borderId="2" xfId="8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12" fillId="0" borderId="27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</cellXfs>
  <cellStyles count="1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4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C1" zoomScale="90" zoomScaleNormal="90" zoomScalePageLayoutView="90" workbookViewId="0">
      <selection activeCell="H24" sqref="H24:H29"/>
    </sheetView>
  </sheetViews>
  <sheetFormatPr defaultColWidth="11.5703125" defaultRowHeight="12.75" x14ac:dyDescent="0.2"/>
  <cols>
    <col min="3" max="3" width="20.7109375" customWidth="1"/>
    <col min="4" max="4" width="14.42578125" customWidth="1"/>
    <col min="6" max="6" width="17" customWidth="1"/>
    <col min="7" max="7" width="15.7109375" customWidth="1"/>
  </cols>
  <sheetData>
    <row r="1" spans="1:16" ht="63" x14ac:dyDescent="0.25">
      <c r="A1" s="33" t="s">
        <v>3</v>
      </c>
      <c r="B1" s="33" t="s">
        <v>101</v>
      </c>
      <c r="C1" s="56" t="s">
        <v>0</v>
      </c>
      <c r="D1" s="61" t="s">
        <v>5</v>
      </c>
      <c r="E1" s="45" t="s">
        <v>102</v>
      </c>
      <c r="F1" s="62" t="s">
        <v>105</v>
      </c>
      <c r="G1" s="66" t="s">
        <v>106</v>
      </c>
      <c r="H1" s="65" t="s">
        <v>104</v>
      </c>
      <c r="I1" s="62" t="s">
        <v>107</v>
      </c>
      <c r="J1" s="62" t="s">
        <v>108</v>
      </c>
      <c r="K1" s="67" t="s">
        <v>109</v>
      </c>
      <c r="L1" s="68" t="s">
        <v>110</v>
      </c>
      <c r="M1" s="68" t="s">
        <v>111</v>
      </c>
      <c r="N1" s="70" t="s">
        <v>114</v>
      </c>
      <c r="O1" s="71" t="s">
        <v>107</v>
      </c>
      <c r="P1" s="71" t="s">
        <v>108</v>
      </c>
    </row>
    <row r="2" spans="1:16" ht="15.75" x14ac:dyDescent="0.25">
      <c r="A2" s="197" t="s">
        <v>92</v>
      </c>
      <c r="B2" s="200" t="s">
        <v>94</v>
      </c>
      <c r="C2" s="57" t="s">
        <v>13</v>
      </c>
      <c r="D2" s="52">
        <v>6920</v>
      </c>
      <c r="E2" s="47">
        <f>D2/109172</f>
        <v>6.338621624592386E-2</v>
      </c>
      <c r="F2" s="50">
        <f>149*E2</f>
        <v>9.4445462206426551</v>
      </c>
      <c r="G2" s="42">
        <f>76*E2</f>
        <v>4.8173524346902132</v>
      </c>
      <c r="H2" s="215">
        <f>SUM(F2:F14)</f>
        <v>148.99999999999997</v>
      </c>
      <c r="I2" s="214">
        <f>SUM(H2:H29)</f>
        <v>270.99999999999994</v>
      </c>
      <c r="J2" s="64">
        <f>SUM(I2:I44)</f>
        <v>541</v>
      </c>
      <c r="K2" s="218">
        <f>SUM(G2:G14)</f>
        <v>76</v>
      </c>
      <c r="L2" s="219">
        <f>SUM(K2:K29)</f>
        <v>138</v>
      </c>
      <c r="M2" s="63">
        <f>SUM(L2:L44)</f>
        <v>276</v>
      </c>
    </row>
    <row r="3" spans="1:16" ht="15.75" x14ac:dyDescent="0.25">
      <c r="A3" s="198"/>
      <c r="B3" s="201"/>
      <c r="C3" s="57" t="s">
        <v>19</v>
      </c>
      <c r="D3" s="52">
        <v>3203</v>
      </c>
      <c r="E3" s="47">
        <f t="shared" ref="E3:E14" si="0">D3/109172</f>
        <v>2.9339024658337303E-2</v>
      </c>
      <c r="F3" s="50">
        <f t="shared" ref="F3:F14" si="1">149*E3</f>
        <v>4.3715146740922579</v>
      </c>
      <c r="G3" s="42">
        <f t="shared" ref="G3:G14" si="2">76*E3</f>
        <v>2.2297658740336352</v>
      </c>
      <c r="H3" s="216"/>
      <c r="I3" s="198"/>
      <c r="K3" s="210"/>
      <c r="L3" s="209"/>
    </row>
    <row r="4" spans="1:16" ht="15.75" x14ac:dyDescent="0.25">
      <c r="A4" s="198"/>
      <c r="B4" s="201"/>
      <c r="C4" s="57" t="s">
        <v>20</v>
      </c>
      <c r="D4" s="52">
        <v>8042</v>
      </c>
      <c r="E4" s="47">
        <f t="shared" si="0"/>
        <v>7.3663576741288969E-2</v>
      </c>
      <c r="F4" s="50">
        <f t="shared" si="1"/>
        <v>10.975872934452056</v>
      </c>
      <c r="G4" s="42">
        <f t="shared" si="2"/>
        <v>5.5984318323379618</v>
      </c>
      <c r="H4" s="216"/>
      <c r="I4" s="198"/>
      <c r="K4" s="210"/>
      <c r="L4" s="209"/>
    </row>
    <row r="5" spans="1:16" ht="15.75" x14ac:dyDescent="0.25">
      <c r="A5" s="198"/>
      <c r="B5" s="201"/>
      <c r="C5" s="57" t="s">
        <v>17</v>
      </c>
      <c r="D5" s="52">
        <v>3622</v>
      </c>
      <c r="E5" s="47">
        <f t="shared" si="0"/>
        <v>3.3177005092880955E-2</v>
      </c>
      <c r="F5" s="50">
        <f t="shared" si="1"/>
        <v>4.9433737588392628</v>
      </c>
      <c r="G5" s="42">
        <f t="shared" si="2"/>
        <v>2.5214523870589525</v>
      </c>
      <c r="H5" s="216"/>
      <c r="I5" s="198"/>
      <c r="K5" s="210"/>
      <c r="L5" s="209"/>
    </row>
    <row r="6" spans="1:16" ht="15.75" x14ac:dyDescent="0.25">
      <c r="A6" s="198"/>
      <c r="B6" s="201"/>
      <c r="C6" s="57" t="s">
        <v>22</v>
      </c>
      <c r="D6" s="52">
        <v>2000</v>
      </c>
      <c r="E6" s="47">
        <f t="shared" si="0"/>
        <v>1.8319715678012678E-2</v>
      </c>
      <c r="F6" s="50">
        <f t="shared" si="1"/>
        <v>2.729637636023889</v>
      </c>
      <c r="G6" s="42">
        <f t="shared" si="2"/>
        <v>1.3922983915289635</v>
      </c>
      <c r="H6" s="216"/>
      <c r="I6" s="198"/>
      <c r="K6" s="210"/>
      <c r="L6" s="209"/>
    </row>
    <row r="7" spans="1:16" ht="15.75" x14ac:dyDescent="0.25">
      <c r="A7" s="198"/>
      <c r="B7" s="201"/>
      <c r="C7" s="57" t="s">
        <v>23</v>
      </c>
      <c r="D7" s="52">
        <v>9000</v>
      </c>
      <c r="E7" s="47">
        <f t="shared" si="0"/>
        <v>8.2438720551057054E-2</v>
      </c>
      <c r="F7" s="50">
        <f t="shared" si="1"/>
        <v>12.283369362107502</v>
      </c>
      <c r="G7" s="42">
        <f t="shared" si="2"/>
        <v>6.2653427618803361</v>
      </c>
      <c r="H7" s="216"/>
      <c r="I7" s="198"/>
      <c r="K7" s="210"/>
      <c r="L7" s="209"/>
    </row>
    <row r="8" spans="1:16" ht="15.75" x14ac:dyDescent="0.25">
      <c r="A8" s="198"/>
      <c r="B8" s="201"/>
      <c r="C8" s="57" t="s">
        <v>25</v>
      </c>
      <c r="D8" s="52">
        <v>2183</v>
      </c>
      <c r="E8" s="47">
        <f t="shared" si="0"/>
        <v>1.9995969662550836E-2</v>
      </c>
      <c r="F8" s="50">
        <f t="shared" si="1"/>
        <v>2.9793994797200747</v>
      </c>
      <c r="G8" s="42">
        <f t="shared" si="2"/>
        <v>1.5196936943538635</v>
      </c>
      <c r="H8" s="216"/>
      <c r="I8" s="198"/>
      <c r="K8" s="210"/>
      <c r="L8" s="209"/>
    </row>
    <row r="9" spans="1:16" ht="15.75" x14ac:dyDescent="0.25">
      <c r="A9" s="198"/>
      <c r="B9" s="201"/>
      <c r="C9" s="58" t="s">
        <v>27</v>
      </c>
      <c r="D9" s="53">
        <v>0</v>
      </c>
      <c r="E9" s="47">
        <f t="shared" si="0"/>
        <v>0</v>
      </c>
      <c r="F9" s="50">
        <f t="shared" si="1"/>
        <v>0</v>
      </c>
      <c r="G9" s="42">
        <f t="shared" si="2"/>
        <v>0</v>
      </c>
      <c r="H9" s="216"/>
      <c r="I9" s="198"/>
      <c r="K9" s="210"/>
      <c r="L9" s="209"/>
    </row>
    <row r="10" spans="1:16" ht="15.75" x14ac:dyDescent="0.25">
      <c r="A10" s="198"/>
      <c r="B10" s="201"/>
      <c r="C10" s="57" t="s">
        <v>21</v>
      </c>
      <c r="D10" s="52">
        <v>40000</v>
      </c>
      <c r="E10" s="47">
        <f t="shared" si="0"/>
        <v>0.36639431356025354</v>
      </c>
      <c r="F10" s="50">
        <f t="shared" si="1"/>
        <v>54.592752720477776</v>
      </c>
      <c r="G10" s="42">
        <f t="shared" si="2"/>
        <v>27.845967830579269</v>
      </c>
      <c r="H10" s="216"/>
      <c r="I10" s="198"/>
      <c r="K10" s="210"/>
      <c r="L10" s="209"/>
    </row>
    <row r="11" spans="1:16" ht="15.75" x14ac:dyDescent="0.25">
      <c r="A11" s="198"/>
      <c r="B11" s="201"/>
      <c r="C11" s="57" t="s">
        <v>28</v>
      </c>
      <c r="D11" s="52">
        <v>1321</v>
      </c>
      <c r="E11" s="47">
        <f t="shared" si="0"/>
        <v>1.2100172205327372E-2</v>
      </c>
      <c r="F11" s="50">
        <f t="shared" si="1"/>
        <v>1.8029256585937785</v>
      </c>
      <c r="G11" s="42">
        <f t="shared" si="2"/>
        <v>0.91961308760488025</v>
      </c>
      <c r="H11" s="216"/>
      <c r="I11" s="198"/>
      <c r="K11" s="210"/>
      <c r="L11" s="209"/>
    </row>
    <row r="12" spans="1:16" ht="15.75" x14ac:dyDescent="0.25">
      <c r="A12" s="198"/>
      <c r="B12" s="201"/>
      <c r="C12" s="58" t="s">
        <v>29</v>
      </c>
      <c r="D12" s="52">
        <v>3000</v>
      </c>
      <c r="E12" s="47">
        <f t="shared" si="0"/>
        <v>2.7479573517019015E-2</v>
      </c>
      <c r="F12" s="50">
        <f t="shared" si="1"/>
        <v>4.094456454035833</v>
      </c>
      <c r="G12" s="42">
        <f t="shared" si="2"/>
        <v>2.0884475872934449</v>
      </c>
      <c r="H12" s="216"/>
      <c r="I12" s="198"/>
      <c r="K12" s="210"/>
      <c r="L12" s="209"/>
    </row>
    <row r="13" spans="1:16" ht="15.75" x14ac:dyDescent="0.25">
      <c r="A13" s="198"/>
      <c r="B13" s="201"/>
      <c r="C13" s="57" t="s">
        <v>30</v>
      </c>
      <c r="D13" s="52">
        <v>24217</v>
      </c>
      <c r="E13" s="47">
        <f t="shared" si="0"/>
        <v>0.22182427728721651</v>
      </c>
      <c r="F13" s="50">
        <f t="shared" si="1"/>
        <v>33.051817315795262</v>
      </c>
      <c r="G13" s="42">
        <f t="shared" si="2"/>
        <v>16.858645073828455</v>
      </c>
      <c r="H13" s="216"/>
      <c r="I13" s="198"/>
      <c r="K13" s="210"/>
      <c r="L13" s="209"/>
    </row>
    <row r="14" spans="1:16" ht="15.75" x14ac:dyDescent="0.25">
      <c r="A14" s="198"/>
      <c r="B14" s="202"/>
      <c r="C14" s="57" t="s">
        <v>31</v>
      </c>
      <c r="D14" s="52">
        <v>5664</v>
      </c>
      <c r="E14" s="48">
        <f t="shared" si="0"/>
        <v>5.1881434800131902E-2</v>
      </c>
      <c r="F14" s="51">
        <f t="shared" si="1"/>
        <v>7.7303337852196536</v>
      </c>
      <c r="G14" s="51">
        <f t="shared" si="2"/>
        <v>3.9429890448100244</v>
      </c>
      <c r="H14" s="216"/>
      <c r="I14" s="198"/>
      <c r="K14" s="210"/>
      <c r="L14" s="209"/>
    </row>
    <row r="15" spans="1:16" ht="15.75" x14ac:dyDescent="0.25">
      <c r="A15" s="198"/>
      <c r="B15" s="203" t="s">
        <v>95</v>
      </c>
      <c r="C15" s="59" t="s">
        <v>33</v>
      </c>
      <c r="D15" s="54">
        <v>2160</v>
      </c>
      <c r="E15" s="47">
        <f>D15/47581</f>
        <v>4.5396271621025198E-2</v>
      </c>
      <c r="F15" s="50">
        <f>65*E15</f>
        <v>2.9507576553666377</v>
      </c>
      <c r="G15" s="42">
        <f>33*E15</f>
        <v>1.4980769634938316</v>
      </c>
      <c r="H15" s="217">
        <f>SUM(F15:F23)</f>
        <v>65</v>
      </c>
      <c r="I15" s="198"/>
      <c r="K15" s="217">
        <f>SUM(G15:G23)</f>
        <v>33</v>
      </c>
      <c r="L15" s="209"/>
    </row>
    <row r="16" spans="1:16" ht="15.75" x14ac:dyDescent="0.25">
      <c r="A16" s="198"/>
      <c r="B16" s="204"/>
      <c r="C16" s="57" t="s">
        <v>40</v>
      </c>
      <c r="D16" s="52">
        <v>580</v>
      </c>
      <c r="E16" s="47">
        <f t="shared" ref="E16:E23" si="3">D16/47581</f>
        <v>1.2189739601941951E-2</v>
      </c>
      <c r="F16" s="50">
        <f t="shared" ref="F16:F23" si="4">65*E16</f>
        <v>0.79233307412622678</v>
      </c>
      <c r="G16" s="42">
        <f t="shared" ref="G16:G23" si="5">33*E16</f>
        <v>0.4022614068640844</v>
      </c>
      <c r="H16" s="211"/>
      <c r="I16" s="198"/>
      <c r="K16" s="211"/>
      <c r="L16" s="209"/>
    </row>
    <row r="17" spans="1:12" ht="15.75" x14ac:dyDescent="0.25">
      <c r="A17" s="198"/>
      <c r="B17" s="204"/>
      <c r="C17" s="57" t="s">
        <v>42</v>
      </c>
      <c r="D17" s="52">
        <v>1030</v>
      </c>
      <c r="E17" s="47">
        <f t="shared" si="3"/>
        <v>2.1647296189655534E-2</v>
      </c>
      <c r="F17" s="50">
        <f t="shared" si="4"/>
        <v>1.4070742523276096</v>
      </c>
      <c r="G17" s="42">
        <f t="shared" si="5"/>
        <v>0.71436077425863265</v>
      </c>
      <c r="H17" s="211"/>
      <c r="I17" s="198"/>
      <c r="K17" s="211"/>
      <c r="L17" s="209"/>
    </row>
    <row r="18" spans="1:12" ht="15.75" x14ac:dyDescent="0.25">
      <c r="A18" s="198"/>
      <c r="B18" s="204"/>
      <c r="C18" s="57" t="s">
        <v>44</v>
      </c>
      <c r="D18" s="52">
        <v>25074</v>
      </c>
      <c r="E18" s="47">
        <f t="shared" si="3"/>
        <v>0.52697505306740089</v>
      </c>
      <c r="F18" s="50">
        <f t="shared" si="4"/>
        <v>34.25337844938106</v>
      </c>
      <c r="G18" s="42">
        <f t="shared" si="5"/>
        <v>17.390176751224228</v>
      </c>
      <c r="H18" s="211"/>
      <c r="I18" s="198"/>
      <c r="K18" s="211"/>
      <c r="L18" s="209"/>
    </row>
    <row r="19" spans="1:12" ht="15.75" x14ac:dyDescent="0.25">
      <c r="A19" s="198"/>
      <c r="B19" s="204"/>
      <c r="C19" s="57" t="s">
        <v>32</v>
      </c>
      <c r="D19" s="52">
        <v>637</v>
      </c>
      <c r="E19" s="47">
        <f t="shared" si="3"/>
        <v>1.3387696769719005E-2</v>
      </c>
      <c r="F19" s="50">
        <f t="shared" si="4"/>
        <v>0.87020029003173527</v>
      </c>
      <c r="G19" s="42">
        <f t="shared" si="5"/>
        <v>0.44179399340072717</v>
      </c>
      <c r="H19" s="211"/>
      <c r="I19" s="198"/>
      <c r="K19" s="211"/>
      <c r="L19" s="209"/>
    </row>
    <row r="20" spans="1:12" ht="15.75" x14ac:dyDescent="0.25">
      <c r="A20" s="198"/>
      <c r="B20" s="204"/>
      <c r="C20" s="57" t="s">
        <v>48</v>
      </c>
      <c r="D20" s="52">
        <v>1200</v>
      </c>
      <c r="E20" s="47">
        <f t="shared" si="3"/>
        <v>2.5220150900569557E-2</v>
      </c>
      <c r="F20" s="50">
        <f t="shared" si="4"/>
        <v>1.6393098085370212</v>
      </c>
      <c r="G20" s="42">
        <f t="shared" si="5"/>
        <v>0.83226497971879532</v>
      </c>
      <c r="H20" s="211"/>
      <c r="I20" s="198"/>
      <c r="K20" s="211"/>
      <c r="L20" s="209"/>
    </row>
    <row r="21" spans="1:12" ht="15.75" x14ac:dyDescent="0.25">
      <c r="A21" s="198"/>
      <c r="B21" s="204"/>
      <c r="C21" s="57" t="s">
        <v>50</v>
      </c>
      <c r="D21" s="52">
        <v>4253</v>
      </c>
      <c r="E21" s="47">
        <f t="shared" si="3"/>
        <v>8.9384418150101938E-2</v>
      </c>
      <c r="F21" s="50">
        <f t="shared" si="4"/>
        <v>5.809987179756626</v>
      </c>
      <c r="G21" s="42">
        <f t="shared" si="5"/>
        <v>2.949685798953364</v>
      </c>
      <c r="H21" s="211"/>
      <c r="I21" s="198"/>
      <c r="K21" s="211"/>
      <c r="L21" s="209"/>
    </row>
    <row r="22" spans="1:12" ht="15.75" x14ac:dyDescent="0.25">
      <c r="A22" s="198"/>
      <c r="B22" s="204"/>
      <c r="C22" s="57" t="s">
        <v>34</v>
      </c>
      <c r="D22" s="52">
        <v>12147</v>
      </c>
      <c r="E22" s="47">
        <f t="shared" si="3"/>
        <v>0.25529097749101531</v>
      </c>
      <c r="F22" s="50">
        <f t="shared" si="4"/>
        <v>16.593913536915995</v>
      </c>
      <c r="G22" s="42">
        <f t="shared" si="5"/>
        <v>8.4246022572035049</v>
      </c>
      <c r="H22" s="211"/>
      <c r="I22" s="198"/>
      <c r="K22" s="211"/>
      <c r="L22" s="209"/>
    </row>
    <row r="23" spans="1:12" ht="15.75" x14ac:dyDescent="0.25">
      <c r="A23" s="198"/>
      <c r="B23" s="205"/>
      <c r="C23" s="57" t="s">
        <v>39</v>
      </c>
      <c r="D23" s="52">
        <v>500</v>
      </c>
      <c r="E23" s="48">
        <f t="shared" si="3"/>
        <v>1.0508396208570648E-2</v>
      </c>
      <c r="F23" s="51">
        <f t="shared" si="4"/>
        <v>0.68304575355709218</v>
      </c>
      <c r="G23" s="51">
        <f t="shared" si="5"/>
        <v>0.34677707488283138</v>
      </c>
      <c r="H23" s="211"/>
      <c r="I23" s="198"/>
      <c r="K23" s="211"/>
      <c r="L23" s="209"/>
    </row>
    <row r="24" spans="1:12" ht="15.75" x14ac:dyDescent="0.25">
      <c r="A24" s="198"/>
      <c r="B24" s="206" t="s">
        <v>100</v>
      </c>
      <c r="C24" s="59" t="s">
        <v>9</v>
      </c>
      <c r="D24" s="54">
        <v>1210</v>
      </c>
      <c r="E24" s="47">
        <f t="shared" ref="E24:E29" si="6">D24/41719</f>
        <v>2.9003571514178192E-2</v>
      </c>
      <c r="F24" s="50">
        <f t="shared" ref="F24:F29" si="7">57*E24</f>
        <v>1.653203576308157</v>
      </c>
      <c r="G24" s="42">
        <f t="shared" ref="G24:G29" si="8">29*E24</f>
        <v>0.84110357391116752</v>
      </c>
      <c r="H24" s="213">
        <f>SUM(F24:F29)</f>
        <v>56.999999999999993</v>
      </c>
      <c r="I24" s="198"/>
      <c r="K24" s="213">
        <f>SUM(G24:G29)</f>
        <v>29.000000000000004</v>
      </c>
      <c r="L24" s="209"/>
    </row>
    <row r="25" spans="1:12" ht="15.75" x14ac:dyDescent="0.25">
      <c r="A25" s="198"/>
      <c r="B25" s="207"/>
      <c r="C25" s="57" t="s">
        <v>14</v>
      </c>
      <c r="D25" s="52">
        <v>3000</v>
      </c>
      <c r="E25" s="47">
        <f t="shared" si="6"/>
        <v>7.1909681440111214E-2</v>
      </c>
      <c r="F25" s="50">
        <f t="shared" si="7"/>
        <v>4.0988518420863391</v>
      </c>
      <c r="G25" s="42">
        <f t="shared" si="8"/>
        <v>2.0853807617632252</v>
      </c>
      <c r="H25" s="212"/>
      <c r="I25" s="198"/>
      <c r="K25" s="212"/>
      <c r="L25" s="209"/>
    </row>
    <row r="26" spans="1:12" ht="15.75" x14ac:dyDescent="0.25">
      <c r="A26" s="198"/>
      <c r="B26" s="207"/>
      <c r="C26" s="57" t="s">
        <v>41</v>
      </c>
      <c r="D26" s="52">
        <v>916</v>
      </c>
      <c r="E26" s="47">
        <f t="shared" si="6"/>
        <v>2.1956422733047293E-2</v>
      </c>
      <c r="F26" s="50">
        <f t="shared" si="7"/>
        <v>1.2515160957836957</v>
      </c>
      <c r="G26" s="42">
        <f t="shared" si="8"/>
        <v>0.63673625925837152</v>
      </c>
      <c r="H26" s="212"/>
      <c r="I26" s="198"/>
      <c r="K26" s="212"/>
      <c r="L26" s="209"/>
    </row>
    <row r="27" spans="1:12" ht="15.75" x14ac:dyDescent="0.25">
      <c r="A27" s="198"/>
      <c r="B27" s="207"/>
      <c r="C27" s="57" t="s">
        <v>45</v>
      </c>
      <c r="D27" s="52">
        <v>21000</v>
      </c>
      <c r="E27" s="47">
        <f t="shared" si="6"/>
        <v>0.50336777008077849</v>
      </c>
      <c r="F27" s="50">
        <f t="shared" si="7"/>
        <v>28.691962894604373</v>
      </c>
      <c r="G27" s="42">
        <f t="shared" si="8"/>
        <v>14.597665332342576</v>
      </c>
      <c r="H27" s="212"/>
      <c r="I27" s="198"/>
      <c r="K27" s="212"/>
      <c r="L27" s="209"/>
    </row>
    <row r="28" spans="1:12" ht="15.75" x14ac:dyDescent="0.25">
      <c r="A28" s="198"/>
      <c r="B28" s="207"/>
      <c r="C28" s="58" t="s">
        <v>37</v>
      </c>
      <c r="D28" s="52">
        <v>14593</v>
      </c>
      <c r="E28" s="47">
        <f t="shared" si="6"/>
        <v>0.34979266041851437</v>
      </c>
      <c r="F28" s="50">
        <f t="shared" si="7"/>
        <v>19.938181643855319</v>
      </c>
      <c r="G28" s="42">
        <f t="shared" si="8"/>
        <v>10.143987152136917</v>
      </c>
      <c r="H28" s="212"/>
      <c r="I28" s="198"/>
      <c r="K28" s="212"/>
      <c r="L28" s="209"/>
    </row>
    <row r="29" spans="1:12" ht="15.75" x14ac:dyDescent="0.25">
      <c r="A29" s="199"/>
      <c r="B29" s="208"/>
      <c r="C29" s="60" t="s">
        <v>51</v>
      </c>
      <c r="D29" s="55">
        <v>1000</v>
      </c>
      <c r="E29" s="48">
        <f t="shared" si="6"/>
        <v>2.3969893813370408E-2</v>
      </c>
      <c r="F29" s="51">
        <f t="shared" si="7"/>
        <v>1.3662839473621133</v>
      </c>
      <c r="G29" s="51">
        <f t="shared" si="8"/>
        <v>0.69512692058774184</v>
      </c>
      <c r="H29" s="212"/>
      <c r="I29" s="199"/>
      <c r="K29" s="212"/>
      <c r="L29" s="209"/>
    </row>
    <row r="30" spans="1:12" ht="15.75" x14ac:dyDescent="0.25">
      <c r="A30" s="209" t="s">
        <v>103</v>
      </c>
      <c r="B30" s="210" t="s">
        <v>94</v>
      </c>
      <c r="C30" s="59" t="s">
        <v>52</v>
      </c>
      <c r="D30" s="54">
        <v>4663</v>
      </c>
      <c r="E30" s="46">
        <f>D30/19507</f>
        <v>0.2390423950376788</v>
      </c>
      <c r="F30" s="49">
        <f>83*E30</f>
        <v>19.840518788127341</v>
      </c>
      <c r="G30" s="49">
        <f>42*E30</f>
        <v>10.03978059158251</v>
      </c>
      <c r="H30" s="218">
        <f>SUM(F30:F32)</f>
        <v>83</v>
      </c>
      <c r="I30" s="214">
        <f>SUM(H30:H44)</f>
        <v>270</v>
      </c>
      <c r="K30" s="218">
        <f>SUM(G30:G32)</f>
        <v>42</v>
      </c>
      <c r="L30" s="214">
        <f>SUM(K30:K44)</f>
        <v>138</v>
      </c>
    </row>
    <row r="31" spans="1:12" ht="15.75" x14ac:dyDescent="0.25">
      <c r="A31" s="209"/>
      <c r="B31" s="210"/>
      <c r="C31" s="57" t="s">
        <v>56</v>
      </c>
      <c r="D31" s="52">
        <v>3629</v>
      </c>
      <c r="E31" s="47">
        <f>D31/19507</f>
        <v>0.18603578202696469</v>
      </c>
      <c r="F31" s="50">
        <f>83*E31</f>
        <v>15.440969908238069</v>
      </c>
      <c r="G31" s="50">
        <f>42*E31</f>
        <v>7.8135028451325166</v>
      </c>
      <c r="H31" s="210"/>
      <c r="I31" s="198"/>
      <c r="K31" s="210"/>
      <c r="L31" s="198"/>
    </row>
    <row r="32" spans="1:12" ht="15.75" x14ac:dyDescent="0.25">
      <c r="A32" s="209"/>
      <c r="B32" s="210"/>
      <c r="C32" s="60" t="s">
        <v>58</v>
      </c>
      <c r="D32" s="55">
        <v>11215</v>
      </c>
      <c r="E32" s="48">
        <f>D32/19507</f>
        <v>0.57492182293535654</v>
      </c>
      <c r="F32" s="51">
        <f>83*E32</f>
        <v>47.718511303634592</v>
      </c>
      <c r="G32" s="51">
        <f>42*E32</f>
        <v>24.146716563284976</v>
      </c>
      <c r="H32" s="210"/>
      <c r="I32" s="198"/>
      <c r="K32" s="210"/>
      <c r="L32" s="198"/>
    </row>
    <row r="33" spans="1:12" ht="15.75" x14ac:dyDescent="0.25">
      <c r="A33" s="209"/>
      <c r="B33" s="211" t="s">
        <v>95</v>
      </c>
      <c r="C33" s="59" t="s">
        <v>60</v>
      </c>
      <c r="D33" s="54">
        <v>4687</v>
      </c>
      <c r="E33" s="46">
        <f>D33/35779</f>
        <v>0.1309986304815674</v>
      </c>
      <c r="F33" s="38">
        <f>152*E33</f>
        <v>19.911791833198244</v>
      </c>
      <c r="G33" s="49">
        <f>78*E33</f>
        <v>10.217893177562257</v>
      </c>
      <c r="H33" s="217">
        <f>SUM(F33:F41)</f>
        <v>152</v>
      </c>
      <c r="I33" s="198"/>
      <c r="K33" s="217">
        <f>SUM(G33:G41)</f>
        <v>77.999999999999986</v>
      </c>
      <c r="L33" s="198"/>
    </row>
    <row r="34" spans="1:12" ht="15.75" x14ac:dyDescent="0.25">
      <c r="A34" s="209"/>
      <c r="B34" s="211"/>
      <c r="C34" s="57" t="s">
        <v>59</v>
      </c>
      <c r="D34" s="52">
        <v>13000</v>
      </c>
      <c r="E34" s="47">
        <f t="shared" ref="E34:E41" si="9">D34/35779</f>
        <v>0.36334162497554429</v>
      </c>
      <c r="F34" s="41">
        <f t="shared" ref="F34:F41" si="10">152*E34</f>
        <v>55.227926996282733</v>
      </c>
      <c r="G34" s="50">
        <f>78*E34</f>
        <v>28.340646748092453</v>
      </c>
      <c r="H34" s="211"/>
      <c r="I34" s="198"/>
      <c r="K34" s="211"/>
      <c r="L34" s="198"/>
    </row>
    <row r="35" spans="1:12" ht="15.75" x14ac:dyDescent="0.25">
      <c r="A35" s="209"/>
      <c r="B35" s="211"/>
      <c r="C35" s="57" t="s">
        <v>61</v>
      </c>
      <c r="D35" s="52">
        <v>4458</v>
      </c>
      <c r="E35" s="47">
        <f t="shared" si="9"/>
        <v>0.12459822801084434</v>
      </c>
      <c r="F35" s="41">
        <f t="shared" si="10"/>
        <v>18.938930657648342</v>
      </c>
      <c r="G35" s="50">
        <f t="shared" ref="G35:G41" si="11">78*E35</f>
        <v>9.7186617848458585</v>
      </c>
      <c r="H35" s="211"/>
      <c r="I35" s="198"/>
      <c r="K35" s="211"/>
      <c r="L35" s="198"/>
    </row>
    <row r="36" spans="1:12" ht="15.75" x14ac:dyDescent="0.25">
      <c r="A36" s="209"/>
      <c r="B36" s="211"/>
      <c r="C36" s="57" t="s">
        <v>63</v>
      </c>
      <c r="D36" s="52">
        <v>2594</v>
      </c>
      <c r="E36" s="47">
        <f t="shared" si="9"/>
        <v>7.2500628860504762E-2</v>
      </c>
      <c r="F36" s="41">
        <f t="shared" si="10"/>
        <v>11.020095586796725</v>
      </c>
      <c r="G36" s="50">
        <f t="shared" si="11"/>
        <v>5.6550490511193718</v>
      </c>
      <c r="H36" s="211"/>
      <c r="I36" s="198"/>
      <c r="K36" s="211"/>
      <c r="L36" s="198"/>
    </row>
    <row r="37" spans="1:12" ht="15.75" x14ac:dyDescent="0.25">
      <c r="A37" s="209"/>
      <c r="B37" s="211"/>
      <c r="C37" s="57" t="s">
        <v>65</v>
      </c>
      <c r="D37" s="52">
        <v>2778</v>
      </c>
      <c r="E37" s="47">
        <f t="shared" si="9"/>
        <v>7.7643310321697079E-2</v>
      </c>
      <c r="F37" s="41">
        <f t="shared" si="10"/>
        <v>11.801783168897956</v>
      </c>
      <c r="G37" s="50">
        <f t="shared" si="11"/>
        <v>6.0561782050923725</v>
      </c>
      <c r="H37" s="211"/>
      <c r="I37" s="198"/>
      <c r="K37" s="211"/>
      <c r="L37" s="198"/>
    </row>
    <row r="38" spans="1:12" ht="15.75" x14ac:dyDescent="0.25">
      <c r="A38" s="209"/>
      <c r="B38" s="211"/>
      <c r="C38" s="57" t="s">
        <v>67</v>
      </c>
      <c r="D38" s="52">
        <v>3000</v>
      </c>
      <c r="E38" s="47">
        <f t="shared" si="9"/>
        <v>8.384806730204869E-2</v>
      </c>
      <c r="F38" s="41">
        <f t="shared" si="10"/>
        <v>12.7449062299114</v>
      </c>
      <c r="G38" s="50">
        <f t="shared" si="11"/>
        <v>6.5401492495597982</v>
      </c>
      <c r="H38" s="211"/>
      <c r="I38" s="198"/>
      <c r="K38" s="211"/>
      <c r="L38" s="198"/>
    </row>
    <row r="39" spans="1:12" ht="15.75" x14ac:dyDescent="0.25">
      <c r="A39" s="209"/>
      <c r="B39" s="211"/>
      <c r="C39" s="57" t="s">
        <v>72</v>
      </c>
      <c r="D39" s="52">
        <v>2159</v>
      </c>
      <c r="E39" s="47">
        <f t="shared" si="9"/>
        <v>6.0342659101707705E-2</v>
      </c>
      <c r="F39" s="41">
        <f t="shared" si="10"/>
        <v>9.172084183459571</v>
      </c>
      <c r="G39" s="50">
        <f t="shared" si="11"/>
        <v>4.706727409933201</v>
      </c>
      <c r="H39" s="211"/>
      <c r="I39" s="198"/>
      <c r="K39" s="211"/>
      <c r="L39" s="198"/>
    </row>
    <row r="40" spans="1:12" ht="15.75" x14ac:dyDescent="0.25">
      <c r="A40" s="209"/>
      <c r="B40" s="211"/>
      <c r="C40" s="57" t="s">
        <v>69</v>
      </c>
      <c r="D40" s="52">
        <v>1703</v>
      </c>
      <c r="E40" s="47">
        <f t="shared" si="9"/>
        <v>4.7597752871796302E-2</v>
      </c>
      <c r="F40" s="41">
        <f t="shared" si="10"/>
        <v>7.2348584365130382</v>
      </c>
      <c r="G40" s="50">
        <f t="shared" si="11"/>
        <v>3.7126247240001113</v>
      </c>
      <c r="H40" s="211"/>
      <c r="I40" s="198"/>
      <c r="K40" s="211"/>
      <c r="L40" s="198"/>
    </row>
    <row r="41" spans="1:12" ht="15.75" x14ac:dyDescent="0.25">
      <c r="A41" s="209"/>
      <c r="B41" s="211"/>
      <c r="C41" s="60" t="s">
        <v>74</v>
      </c>
      <c r="D41" s="55">
        <v>1400</v>
      </c>
      <c r="E41" s="48">
        <f t="shared" si="9"/>
        <v>3.9129098074289388E-2</v>
      </c>
      <c r="F41" s="41">
        <f t="shared" si="10"/>
        <v>5.9476229072919873</v>
      </c>
      <c r="G41" s="51">
        <f t="shared" si="11"/>
        <v>3.0520696497945723</v>
      </c>
      <c r="H41" s="211"/>
      <c r="I41" s="198"/>
      <c r="K41" s="211"/>
      <c r="L41" s="198"/>
    </row>
    <row r="42" spans="1:12" ht="15.75" x14ac:dyDescent="0.25">
      <c r="A42" s="209"/>
      <c r="B42" s="212" t="s">
        <v>98</v>
      </c>
      <c r="C42" s="59" t="s">
        <v>66</v>
      </c>
      <c r="D42" s="54">
        <v>6389</v>
      </c>
      <c r="E42" s="46">
        <f>D42/8217</f>
        <v>0.77753437994401853</v>
      </c>
      <c r="F42" s="49">
        <f>35*E42</f>
        <v>27.213703298040649</v>
      </c>
      <c r="G42" s="50">
        <f>18*E42</f>
        <v>13.995618838992334</v>
      </c>
      <c r="H42" s="213">
        <f>SUM(F42:F44)</f>
        <v>35</v>
      </c>
      <c r="I42" s="198"/>
      <c r="K42" s="213">
        <f>SUM(G42:G44)</f>
        <v>18</v>
      </c>
      <c r="L42" s="198"/>
    </row>
    <row r="43" spans="1:12" ht="15.75" x14ac:dyDescent="0.25">
      <c r="A43" s="209"/>
      <c r="B43" s="212"/>
      <c r="C43" s="57" t="s">
        <v>68</v>
      </c>
      <c r="D43" s="52">
        <v>400</v>
      </c>
      <c r="E43" s="47">
        <f>D43/8217</f>
        <v>4.8679566751855911E-2</v>
      </c>
      <c r="F43" s="50">
        <f>35*E43</f>
        <v>1.7037848363149568</v>
      </c>
      <c r="G43" s="50">
        <f>18*E43</f>
        <v>0.87623220153340642</v>
      </c>
      <c r="H43" s="212"/>
      <c r="I43" s="198"/>
      <c r="K43" s="212"/>
      <c r="L43" s="198"/>
    </row>
    <row r="44" spans="1:12" ht="15.75" x14ac:dyDescent="0.25">
      <c r="A44" s="209"/>
      <c r="B44" s="212"/>
      <c r="C44" s="60" t="s">
        <v>70</v>
      </c>
      <c r="D44" s="55">
        <v>1428</v>
      </c>
      <c r="E44" s="48">
        <f>D44/8217</f>
        <v>0.17378605330412558</v>
      </c>
      <c r="F44" s="51">
        <f>35*E44</f>
        <v>6.0825118656443955</v>
      </c>
      <c r="G44" s="51">
        <f>18*E44</f>
        <v>3.1281489594742604</v>
      </c>
      <c r="H44" s="212"/>
      <c r="I44" s="199"/>
      <c r="K44" s="212"/>
      <c r="L44" s="199"/>
    </row>
    <row r="48" spans="1:12" x14ac:dyDescent="0.2">
      <c r="D48">
        <f>SUM(D2:D44)</f>
        <v>261975</v>
      </c>
      <c r="H48">
        <f>57+35</f>
        <v>92</v>
      </c>
    </row>
  </sheetData>
  <mergeCells count="24">
    <mergeCell ref="K42:K44"/>
    <mergeCell ref="L2:L29"/>
    <mergeCell ref="L30:L44"/>
    <mergeCell ref="K2:K14"/>
    <mergeCell ref="K15:K23"/>
    <mergeCell ref="K24:K29"/>
    <mergeCell ref="K30:K32"/>
    <mergeCell ref="K33:K41"/>
    <mergeCell ref="H42:H44"/>
    <mergeCell ref="I30:I44"/>
    <mergeCell ref="H2:H14"/>
    <mergeCell ref="H15:H23"/>
    <mergeCell ref="H24:H29"/>
    <mergeCell ref="I2:I29"/>
    <mergeCell ref="H30:H32"/>
    <mergeCell ref="H33:H41"/>
    <mergeCell ref="A2:A29"/>
    <mergeCell ref="B2:B14"/>
    <mergeCell ref="B15:B23"/>
    <mergeCell ref="B24:B29"/>
    <mergeCell ref="A30:A44"/>
    <mergeCell ref="B30:B32"/>
    <mergeCell ref="B33:B41"/>
    <mergeCell ref="B42:B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zoomScale="110" zoomScaleNormal="110" zoomScalePageLayoutView="110" workbookViewId="0">
      <pane ySplit="1" topLeftCell="A2" activePane="bottomLeft" state="frozen"/>
      <selection pane="bottomLeft" activeCell="B25" sqref="B25"/>
    </sheetView>
  </sheetViews>
  <sheetFormatPr defaultColWidth="14.42578125" defaultRowHeight="15.75" customHeight="1" x14ac:dyDescent="0.2"/>
  <cols>
    <col min="1" max="2" width="17.7109375" style="24" customWidth="1"/>
    <col min="3" max="3" width="14.140625" style="28" customWidth="1"/>
    <col min="4" max="5" width="14.140625" style="28" hidden="1" customWidth="1"/>
    <col min="6" max="6" width="12.140625" style="1" hidden="1" customWidth="1"/>
    <col min="7" max="7" width="9.7109375" style="1" hidden="1" customWidth="1"/>
    <col min="8" max="8" width="13.42578125" style="1" hidden="1" customWidth="1"/>
    <col min="9" max="9" width="22.7109375" style="1" hidden="1" customWidth="1"/>
    <col min="10" max="10" width="14.42578125" style="10" hidden="1" customWidth="1"/>
    <col min="11" max="11" width="23.28515625" style="10" customWidth="1"/>
    <col min="12" max="12" width="21.7109375" style="26" hidden="1" customWidth="1"/>
    <col min="13" max="13" width="20.140625" style="12" hidden="1" customWidth="1"/>
    <col min="14" max="14" width="12" style="5" hidden="1" customWidth="1"/>
    <col min="15" max="15" width="13.140625" style="3" hidden="1" customWidth="1"/>
    <col min="16" max="16" width="13.28515625" style="3" hidden="1" customWidth="1"/>
    <col min="17" max="17" width="10.7109375" style="3" hidden="1" customWidth="1"/>
    <col min="18" max="16384" width="14.42578125" style="1"/>
  </cols>
  <sheetData>
    <row r="1" spans="1:18" s="75" customFormat="1" ht="43.9" customHeight="1" x14ac:dyDescent="0.2">
      <c r="A1" s="72" t="s">
        <v>0</v>
      </c>
      <c r="B1" s="72" t="s">
        <v>115</v>
      </c>
      <c r="C1" s="72" t="s">
        <v>93</v>
      </c>
      <c r="D1" s="72" t="s">
        <v>98</v>
      </c>
      <c r="E1" s="72" t="s">
        <v>112</v>
      </c>
      <c r="F1" s="72" t="s">
        <v>89</v>
      </c>
      <c r="G1" s="72" t="s">
        <v>3</v>
      </c>
      <c r="H1" s="72" t="s">
        <v>1</v>
      </c>
      <c r="I1" s="72" t="s">
        <v>2</v>
      </c>
      <c r="J1" s="72" t="s">
        <v>91</v>
      </c>
      <c r="K1" s="73" t="s">
        <v>5</v>
      </c>
      <c r="L1" s="74" t="s">
        <v>90</v>
      </c>
      <c r="M1" s="73" t="s">
        <v>5</v>
      </c>
      <c r="N1" s="73" t="s">
        <v>87</v>
      </c>
      <c r="O1" s="74" t="s">
        <v>4</v>
      </c>
      <c r="P1" s="74" t="s">
        <v>6</v>
      </c>
      <c r="Q1" s="74" t="s">
        <v>7</v>
      </c>
      <c r="R1" s="72" t="s">
        <v>8</v>
      </c>
    </row>
    <row r="2" spans="1:18" ht="16.5" x14ac:dyDescent="0.3">
      <c r="A2" s="13" t="s">
        <v>9</v>
      </c>
      <c r="B2" s="13"/>
      <c r="C2" s="31" t="s">
        <v>97</v>
      </c>
      <c r="D2" s="31" t="s">
        <v>99</v>
      </c>
      <c r="E2" s="220">
        <f>SUM(K2:K10)/SUM(K2:K44)</f>
        <v>0.19061360816871839</v>
      </c>
      <c r="F2" s="11"/>
      <c r="G2" s="11" t="s">
        <v>11</v>
      </c>
      <c r="H2" s="11" t="s">
        <v>76</v>
      </c>
      <c r="I2" s="11" t="s">
        <v>79</v>
      </c>
      <c r="J2" s="19">
        <v>2116</v>
      </c>
      <c r="K2" s="20">
        <v>1210</v>
      </c>
      <c r="L2" s="15">
        <v>2070</v>
      </c>
      <c r="M2" s="20">
        <v>1210</v>
      </c>
      <c r="N2" s="22">
        <f t="shared" ref="N2:N13" si="0">M2/J2</f>
        <v>0.57183364839319473</v>
      </c>
      <c r="O2" s="16">
        <v>300</v>
      </c>
      <c r="P2" s="16" t="s">
        <v>12</v>
      </c>
      <c r="Q2" s="16" t="s">
        <v>12</v>
      </c>
      <c r="R2" s="11">
        <v>1410200000</v>
      </c>
    </row>
    <row r="3" spans="1:18" ht="16.5" x14ac:dyDescent="0.3">
      <c r="A3" s="13" t="s">
        <v>41</v>
      </c>
      <c r="B3" s="13"/>
      <c r="C3" s="31" t="s">
        <v>97</v>
      </c>
      <c r="D3" s="31" t="s">
        <v>99</v>
      </c>
      <c r="E3" s="220"/>
      <c r="F3" s="11" t="s">
        <v>78</v>
      </c>
      <c r="G3" s="11" t="s">
        <v>11</v>
      </c>
      <c r="H3" s="11" t="s">
        <v>18</v>
      </c>
      <c r="I3" s="11" t="s">
        <v>79</v>
      </c>
      <c r="J3" s="19">
        <v>9161</v>
      </c>
      <c r="K3" s="20">
        <v>916</v>
      </c>
      <c r="L3" s="15">
        <v>9161</v>
      </c>
      <c r="M3" s="20">
        <v>916</v>
      </c>
      <c r="N3" s="22">
        <f t="shared" si="0"/>
        <v>9.9989084161117778E-2</v>
      </c>
      <c r="O3" s="16" t="s">
        <v>12</v>
      </c>
      <c r="P3" s="16" t="s">
        <v>12</v>
      </c>
      <c r="Q3" s="16" t="s">
        <v>12</v>
      </c>
      <c r="R3" s="11">
        <v>1422400000</v>
      </c>
    </row>
    <row r="4" spans="1:18" ht="16.5" x14ac:dyDescent="0.3">
      <c r="A4" s="13" t="s">
        <v>45</v>
      </c>
      <c r="B4" s="13"/>
      <c r="C4" s="31" t="s">
        <v>97</v>
      </c>
      <c r="D4" s="31" t="s">
        <v>99</v>
      </c>
      <c r="E4" s="220"/>
      <c r="F4" s="11"/>
      <c r="G4" s="11" t="s">
        <v>11</v>
      </c>
      <c r="H4" s="11" t="s">
        <v>15</v>
      </c>
      <c r="I4" s="11" t="s">
        <v>46</v>
      </c>
      <c r="J4" s="19">
        <v>21712</v>
      </c>
      <c r="K4" s="20">
        <v>21000</v>
      </c>
      <c r="L4" s="15" t="s">
        <v>47</v>
      </c>
      <c r="M4" s="20">
        <v>21000</v>
      </c>
      <c r="N4" s="22">
        <f t="shared" si="0"/>
        <v>0.9672070744288872</v>
      </c>
      <c r="O4" s="16" t="s">
        <v>12</v>
      </c>
      <c r="P4" s="16" t="s">
        <v>12</v>
      </c>
      <c r="Q4" s="16" t="s">
        <v>12</v>
      </c>
      <c r="R4" s="11">
        <v>1423300000</v>
      </c>
    </row>
    <row r="5" spans="1:18" ht="16.5" x14ac:dyDescent="0.3">
      <c r="A5" s="13" t="s">
        <v>66</v>
      </c>
      <c r="B5" s="13"/>
      <c r="C5" s="31" t="s">
        <v>97</v>
      </c>
      <c r="D5" s="31" t="s">
        <v>99</v>
      </c>
      <c r="E5" s="220"/>
      <c r="F5" s="11"/>
      <c r="G5" s="11" t="s">
        <v>55</v>
      </c>
      <c r="H5" s="11" t="s">
        <v>53</v>
      </c>
      <c r="I5" s="11" t="s">
        <v>62</v>
      </c>
      <c r="J5" s="19">
        <v>12821</v>
      </c>
      <c r="K5" s="20">
        <v>6389</v>
      </c>
      <c r="L5" s="15">
        <v>12821</v>
      </c>
      <c r="M5" s="20">
        <v>6389</v>
      </c>
      <c r="N5" s="22">
        <f t="shared" si="0"/>
        <v>0.49832306372357849</v>
      </c>
      <c r="O5" s="16">
        <v>200</v>
      </c>
      <c r="P5" s="16" t="s">
        <v>12</v>
      </c>
      <c r="Q5" s="16" t="s">
        <v>12</v>
      </c>
      <c r="R5" s="11">
        <v>4423100000</v>
      </c>
    </row>
    <row r="6" spans="1:18" ht="16.5" x14ac:dyDescent="0.3">
      <c r="A6" s="13" t="s">
        <v>68</v>
      </c>
      <c r="B6" s="13"/>
      <c r="C6" s="31" t="s">
        <v>97</v>
      </c>
      <c r="D6" s="31" t="s">
        <v>99</v>
      </c>
      <c r="E6" s="220"/>
      <c r="F6" s="11"/>
      <c r="G6" s="11" t="s">
        <v>55</v>
      </c>
      <c r="H6" s="11" t="s">
        <v>10</v>
      </c>
      <c r="I6" s="11"/>
      <c r="J6" s="19">
        <v>9013</v>
      </c>
      <c r="K6" s="20">
        <v>400</v>
      </c>
      <c r="L6" s="11">
        <v>3500</v>
      </c>
      <c r="M6" s="20">
        <v>400</v>
      </c>
      <c r="N6" s="22">
        <f t="shared" si="0"/>
        <v>4.4380339509597251E-2</v>
      </c>
      <c r="O6" s="16" t="s">
        <v>12</v>
      </c>
      <c r="P6" s="16" t="s">
        <v>12</v>
      </c>
      <c r="Q6" s="16" t="s">
        <v>12</v>
      </c>
      <c r="R6" s="11">
        <v>4423800000</v>
      </c>
    </row>
    <row r="7" spans="1:18" ht="16.5" x14ac:dyDescent="0.3">
      <c r="A7" s="13" t="s">
        <v>70</v>
      </c>
      <c r="B7" s="13"/>
      <c r="C7" s="31" t="s">
        <v>97</v>
      </c>
      <c r="D7" s="31" t="s">
        <v>99</v>
      </c>
      <c r="E7" s="220"/>
      <c r="F7" s="11"/>
      <c r="G7" s="11" t="s">
        <v>55</v>
      </c>
      <c r="H7" s="11" t="s">
        <v>53</v>
      </c>
      <c r="I7" s="11" t="s">
        <v>71</v>
      </c>
      <c r="J7" s="19">
        <v>6841</v>
      </c>
      <c r="K7" s="20">
        <v>1428</v>
      </c>
      <c r="L7" s="15">
        <v>6841</v>
      </c>
      <c r="M7" s="20">
        <v>1428</v>
      </c>
      <c r="N7" s="22">
        <f t="shared" si="0"/>
        <v>0.20874141207425814</v>
      </c>
      <c r="O7" s="16">
        <v>400</v>
      </c>
      <c r="P7" s="16" t="s">
        <v>12</v>
      </c>
      <c r="Q7" s="16" t="s">
        <v>12</v>
      </c>
      <c r="R7" s="11">
        <v>4424800000</v>
      </c>
    </row>
    <row r="8" spans="1:18" ht="16.5" x14ac:dyDescent="0.3">
      <c r="A8" s="14" t="s">
        <v>37</v>
      </c>
      <c r="B8" s="14"/>
      <c r="C8" s="32" t="s">
        <v>97</v>
      </c>
      <c r="D8" s="32" t="s">
        <v>99</v>
      </c>
      <c r="E8" s="220"/>
      <c r="F8" s="19"/>
      <c r="G8" s="19" t="s">
        <v>11</v>
      </c>
      <c r="H8" s="19" t="s">
        <v>88</v>
      </c>
      <c r="I8" s="19" t="s">
        <v>35</v>
      </c>
      <c r="J8" s="19">
        <v>36482</v>
      </c>
      <c r="K8" s="20">
        <v>14593</v>
      </c>
      <c r="L8" s="15" t="s">
        <v>38</v>
      </c>
      <c r="M8" s="20">
        <v>14593</v>
      </c>
      <c r="N8" s="22">
        <f t="shared" si="0"/>
        <v>0.40000548215558357</v>
      </c>
      <c r="O8" s="15" t="s">
        <v>12</v>
      </c>
      <c r="P8" s="15" t="s">
        <v>12</v>
      </c>
      <c r="Q8" s="15" t="s">
        <v>12</v>
      </c>
      <c r="R8" s="19">
        <v>1421500000</v>
      </c>
    </row>
    <row r="9" spans="1:18" ht="16.5" x14ac:dyDescent="0.3">
      <c r="A9" s="13" t="s">
        <v>51</v>
      </c>
      <c r="B9" s="13"/>
      <c r="C9" s="31" t="s">
        <v>97</v>
      </c>
      <c r="D9" s="31" t="s">
        <v>99</v>
      </c>
      <c r="E9" s="220"/>
      <c r="F9" s="11"/>
      <c r="G9" s="11" t="s">
        <v>11</v>
      </c>
      <c r="H9" s="11" t="s">
        <v>10</v>
      </c>
      <c r="I9" s="11"/>
      <c r="J9" s="19">
        <v>4465</v>
      </c>
      <c r="K9" s="20">
        <v>1000</v>
      </c>
      <c r="L9" s="15">
        <v>4200</v>
      </c>
      <c r="M9" s="20">
        <v>1000</v>
      </c>
      <c r="N9" s="22">
        <f t="shared" si="0"/>
        <v>0.22396416573348266</v>
      </c>
      <c r="O9" s="16" t="s">
        <v>12</v>
      </c>
      <c r="P9" s="16" t="s">
        <v>12</v>
      </c>
      <c r="Q9" s="16" t="s">
        <v>12</v>
      </c>
      <c r="R9" s="11">
        <v>1425500000</v>
      </c>
    </row>
    <row r="10" spans="1:18" ht="16.5" x14ac:dyDescent="0.3">
      <c r="A10" s="13" t="s">
        <v>14</v>
      </c>
      <c r="B10" s="13"/>
      <c r="C10" s="31" t="s">
        <v>96</v>
      </c>
      <c r="D10" s="31" t="s">
        <v>99</v>
      </c>
      <c r="E10" s="220"/>
      <c r="F10" s="11"/>
      <c r="G10" s="11" t="s">
        <v>11</v>
      </c>
      <c r="H10" s="11" t="s">
        <v>15</v>
      </c>
      <c r="I10" s="11" t="s">
        <v>16</v>
      </c>
      <c r="J10" s="19">
        <v>15628</v>
      </c>
      <c r="K10" s="20">
        <v>3000</v>
      </c>
      <c r="L10" s="15">
        <v>15551</v>
      </c>
      <c r="M10" s="20">
        <v>3000</v>
      </c>
      <c r="N10" s="22">
        <f t="shared" si="0"/>
        <v>0.19196314307652931</v>
      </c>
      <c r="O10" s="16" t="s">
        <v>12</v>
      </c>
      <c r="P10" s="16" t="s">
        <v>12</v>
      </c>
      <c r="Q10" s="16" t="s">
        <v>12</v>
      </c>
      <c r="R10" s="11">
        <v>1411200000</v>
      </c>
    </row>
    <row r="11" spans="1:18" ht="16.5" x14ac:dyDescent="0.3">
      <c r="A11" s="13" t="s">
        <v>33</v>
      </c>
      <c r="B11" s="13"/>
      <c r="C11" s="31" t="s">
        <v>97</v>
      </c>
      <c r="D11" s="31"/>
      <c r="E11" s="220">
        <f>SUM(K11:K28)/SUM(K2:K44)</f>
        <v>0.31819830136463401</v>
      </c>
      <c r="F11" s="11" t="s">
        <v>78</v>
      </c>
      <c r="G11" s="11" t="s">
        <v>11</v>
      </c>
      <c r="H11" s="11" t="s">
        <v>76</v>
      </c>
      <c r="I11" s="11" t="s">
        <v>79</v>
      </c>
      <c r="J11" s="19">
        <v>12085</v>
      </c>
      <c r="K11" s="20">
        <v>2160</v>
      </c>
      <c r="L11" s="15">
        <v>10800</v>
      </c>
      <c r="M11" s="20">
        <v>2160</v>
      </c>
      <c r="N11" s="22">
        <f t="shared" si="0"/>
        <v>0.17873396772858915</v>
      </c>
      <c r="O11" s="16" t="s">
        <v>12</v>
      </c>
      <c r="P11" s="16">
        <v>4000</v>
      </c>
      <c r="Q11" s="16" t="s">
        <v>12</v>
      </c>
      <c r="R11" s="11">
        <v>1420900000</v>
      </c>
    </row>
    <row r="12" spans="1:18" ht="16.5" x14ac:dyDescent="0.3">
      <c r="A12" s="13" t="s">
        <v>60</v>
      </c>
      <c r="B12" s="13"/>
      <c r="C12" s="31" t="s">
        <v>97</v>
      </c>
      <c r="D12" s="31"/>
      <c r="E12" s="220"/>
      <c r="F12" s="11"/>
      <c r="G12" s="11" t="s">
        <v>55</v>
      </c>
      <c r="H12" s="11" t="s">
        <v>18</v>
      </c>
      <c r="I12" s="11" t="s">
        <v>79</v>
      </c>
      <c r="J12" s="19">
        <v>9409</v>
      </c>
      <c r="K12" s="20">
        <v>4687</v>
      </c>
      <c r="L12" s="15">
        <v>9409</v>
      </c>
      <c r="M12" s="20">
        <v>4687</v>
      </c>
      <c r="N12" s="22">
        <f t="shared" si="0"/>
        <v>0.49814007864810289</v>
      </c>
      <c r="O12" s="16" t="s">
        <v>12</v>
      </c>
      <c r="P12" s="16" t="s">
        <v>12</v>
      </c>
      <c r="Q12" s="16" t="s">
        <v>12</v>
      </c>
      <c r="R12" s="11">
        <v>4420900000</v>
      </c>
    </row>
    <row r="13" spans="1:18" ht="16.5" x14ac:dyDescent="0.3">
      <c r="A13" s="13" t="s">
        <v>59</v>
      </c>
      <c r="B13" s="13"/>
      <c r="C13" s="31" t="s">
        <v>97</v>
      </c>
      <c r="D13" s="31"/>
      <c r="E13" s="220"/>
      <c r="F13" s="11"/>
      <c r="G13" s="11" t="s">
        <v>55</v>
      </c>
      <c r="H13" s="11" t="s">
        <v>18</v>
      </c>
      <c r="I13" s="11" t="s">
        <v>79</v>
      </c>
      <c r="J13" s="19">
        <v>44559</v>
      </c>
      <c r="K13" s="20">
        <v>13000</v>
      </c>
      <c r="L13" s="15">
        <v>44559</v>
      </c>
      <c r="M13" s="20">
        <v>13000</v>
      </c>
      <c r="N13" s="22">
        <f t="shared" si="0"/>
        <v>0.29174801947979084</v>
      </c>
      <c r="O13" s="16">
        <f>0.6*2070</f>
        <v>1242</v>
      </c>
      <c r="P13" s="16" t="s">
        <v>12</v>
      </c>
      <c r="Q13" s="16" t="s">
        <v>12</v>
      </c>
      <c r="R13" s="11">
        <v>4420600000</v>
      </c>
    </row>
    <row r="14" spans="1:18" ht="16.5" x14ac:dyDescent="0.3">
      <c r="A14" s="13" t="s">
        <v>40</v>
      </c>
      <c r="B14" s="13"/>
      <c r="C14" s="31" t="s">
        <v>97</v>
      </c>
      <c r="D14" s="31"/>
      <c r="E14" s="220"/>
      <c r="F14" s="11" t="s">
        <v>78</v>
      </c>
      <c r="G14" s="11" t="s">
        <v>11</v>
      </c>
      <c r="H14" s="11" t="s">
        <v>76</v>
      </c>
      <c r="I14" s="11" t="s">
        <v>80</v>
      </c>
      <c r="J14" s="19">
        <v>1395</v>
      </c>
      <c r="K14" s="20">
        <v>580</v>
      </c>
      <c r="L14" s="15">
        <v>1126</v>
      </c>
      <c r="M14" s="20" t="s">
        <v>83</v>
      </c>
      <c r="N14" s="22">
        <v>0.4</v>
      </c>
      <c r="O14" s="16" t="s">
        <v>12</v>
      </c>
      <c r="P14" s="16">
        <v>183</v>
      </c>
      <c r="Q14" s="16" t="s">
        <v>12</v>
      </c>
      <c r="R14" s="11">
        <v>1422000000</v>
      </c>
    </row>
    <row r="15" spans="1:18" ht="16.5" x14ac:dyDescent="0.3">
      <c r="A15" s="13" t="s">
        <v>42</v>
      </c>
      <c r="B15" s="13"/>
      <c r="C15" s="32" t="s">
        <v>97</v>
      </c>
      <c r="D15" s="32"/>
      <c r="E15" s="220"/>
      <c r="F15" s="11" t="s">
        <v>78</v>
      </c>
      <c r="G15" s="11" t="s">
        <v>11</v>
      </c>
      <c r="H15" s="11" t="s">
        <v>43</v>
      </c>
      <c r="I15" s="11" t="s">
        <v>35</v>
      </c>
      <c r="J15" s="19">
        <v>20834</v>
      </c>
      <c r="K15" s="20">
        <v>1030</v>
      </c>
      <c r="L15" s="15">
        <v>20600</v>
      </c>
      <c r="M15" s="20">
        <v>1030</v>
      </c>
      <c r="N15" s="22">
        <f t="shared" ref="N15:N23" si="1">M15/J15</f>
        <v>4.943841797062494E-2</v>
      </c>
      <c r="O15" s="16" t="s">
        <v>12</v>
      </c>
      <c r="P15" s="16" t="s">
        <v>12</v>
      </c>
      <c r="Q15" s="16" t="s">
        <v>12</v>
      </c>
      <c r="R15" s="11">
        <v>1422700000</v>
      </c>
    </row>
    <row r="16" spans="1:18" ht="16.5" x14ac:dyDescent="0.3">
      <c r="A16" s="13" t="s">
        <v>44</v>
      </c>
      <c r="B16" s="13"/>
      <c r="C16" s="32" t="s">
        <v>97</v>
      </c>
      <c r="D16" s="32"/>
      <c r="E16" s="220"/>
      <c r="F16" s="19" t="s">
        <v>78</v>
      </c>
      <c r="G16" s="11" t="s">
        <v>11</v>
      </c>
      <c r="H16" s="11" t="s">
        <v>18</v>
      </c>
      <c r="I16" s="11" t="s">
        <v>79</v>
      </c>
      <c r="J16" s="19">
        <v>31343</v>
      </c>
      <c r="K16" s="20">
        <v>25074</v>
      </c>
      <c r="L16" s="15">
        <v>31343</v>
      </c>
      <c r="M16" s="20">
        <v>25074</v>
      </c>
      <c r="N16" s="22">
        <f t="shared" si="1"/>
        <v>0.79998723797977223</v>
      </c>
      <c r="O16" s="16" t="s">
        <v>12</v>
      </c>
      <c r="P16" s="16" t="s">
        <v>12</v>
      </c>
      <c r="Q16" s="16" t="s">
        <v>12</v>
      </c>
      <c r="R16" s="11">
        <v>1413300000</v>
      </c>
    </row>
    <row r="17" spans="1:18" ht="16.5" x14ac:dyDescent="0.3">
      <c r="A17" s="13" t="s">
        <v>61</v>
      </c>
      <c r="B17" s="13"/>
      <c r="C17" s="31" t="s">
        <v>97</v>
      </c>
      <c r="D17" s="31"/>
      <c r="E17" s="220"/>
      <c r="F17" s="11"/>
      <c r="G17" s="11" t="s">
        <v>55</v>
      </c>
      <c r="H17" s="11" t="s">
        <v>53</v>
      </c>
      <c r="I17" s="11" t="s">
        <v>62</v>
      </c>
      <c r="J17" s="19">
        <v>15426</v>
      </c>
      <c r="K17" s="20">
        <v>4458</v>
      </c>
      <c r="L17" s="15">
        <v>15424</v>
      </c>
      <c r="M17" s="20">
        <v>4458</v>
      </c>
      <c r="N17" s="22">
        <f t="shared" si="1"/>
        <v>0.28899260987942432</v>
      </c>
      <c r="O17" s="16" t="s">
        <v>12</v>
      </c>
      <c r="P17" s="16">
        <v>970</v>
      </c>
      <c r="Q17" s="16" t="s">
        <v>12</v>
      </c>
      <c r="R17" s="11">
        <v>4421600000</v>
      </c>
    </row>
    <row r="18" spans="1:18" s="10" customFormat="1" ht="16.5" x14ac:dyDescent="0.3">
      <c r="A18" s="13" t="s">
        <v>63</v>
      </c>
      <c r="B18" s="13"/>
      <c r="C18" s="31" t="s">
        <v>97</v>
      </c>
      <c r="D18" s="31"/>
      <c r="E18" s="220"/>
      <c r="F18" s="11"/>
      <c r="G18" s="11" t="s">
        <v>55</v>
      </c>
      <c r="H18" s="11" t="s">
        <v>53</v>
      </c>
      <c r="I18" s="11" t="s">
        <v>64</v>
      </c>
      <c r="J18" s="19">
        <v>23218</v>
      </c>
      <c r="K18" s="20">
        <v>2594</v>
      </c>
      <c r="L18" s="15">
        <v>23218</v>
      </c>
      <c r="M18" s="20">
        <v>2594</v>
      </c>
      <c r="N18" s="22">
        <f t="shared" si="1"/>
        <v>0.11172366267551039</v>
      </c>
      <c r="O18" s="16" t="s">
        <v>12</v>
      </c>
      <c r="P18" s="16" t="s">
        <v>12</v>
      </c>
      <c r="Q18" s="16" t="s">
        <v>12</v>
      </c>
      <c r="R18" s="11">
        <v>4422500000</v>
      </c>
    </row>
    <row r="19" spans="1:18" ht="16.5" x14ac:dyDescent="0.3">
      <c r="A19" s="13" t="s">
        <v>65</v>
      </c>
      <c r="B19" s="13"/>
      <c r="C19" s="31" t="s">
        <v>97</v>
      </c>
      <c r="D19" s="31"/>
      <c r="E19" s="220"/>
      <c r="F19" s="11"/>
      <c r="G19" s="11" t="s">
        <v>55</v>
      </c>
      <c r="H19" s="11" t="s">
        <v>53</v>
      </c>
      <c r="I19" s="11" t="s">
        <v>64</v>
      </c>
      <c r="J19" s="19">
        <v>17195</v>
      </c>
      <c r="K19" s="20">
        <v>2778</v>
      </c>
      <c r="L19" s="15">
        <v>17195</v>
      </c>
      <c r="M19" s="20">
        <v>2778</v>
      </c>
      <c r="N19" s="22">
        <f t="shared" si="1"/>
        <v>0.16155859261413202</v>
      </c>
      <c r="O19" s="16" t="s">
        <v>12</v>
      </c>
      <c r="P19" s="16" t="s">
        <v>12</v>
      </c>
      <c r="Q19" s="16" t="s">
        <v>12</v>
      </c>
      <c r="R19" s="11">
        <v>4422800000</v>
      </c>
    </row>
    <row r="20" spans="1:18" ht="16.5" x14ac:dyDescent="0.3">
      <c r="A20" s="13" t="s">
        <v>67</v>
      </c>
      <c r="B20" s="13"/>
      <c r="C20" s="31" t="s">
        <v>97</v>
      </c>
      <c r="D20" s="31"/>
      <c r="E20" s="220"/>
      <c r="F20" s="11"/>
      <c r="G20" s="11" t="s">
        <v>55</v>
      </c>
      <c r="H20" s="11" t="s">
        <v>15</v>
      </c>
      <c r="I20" s="27" t="s">
        <v>16</v>
      </c>
      <c r="J20" s="19">
        <v>6197</v>
      </c>
      <c r="K20" s="20">
        <v>3000</v>
      </c>
      <c r="L20" s="15">
        <v>6330</v>
      </c>
      <c r="M20" s="20">
        <v>3000</v>
      </c>
      <c r="N20" s="22">
        <f t="shared" si="1"/>
        <v>0.48410521219945135</v>
      </c>
      <c r="O20" s="16" t="s">
        <v>12</v>
      </c>
      <c r="P20" s="16" t="s">
        <v>12</v>
      </c>
      <c r="Q20" s="16" t="s">
        <v>12</v>
      </c>
      <c r="R20" s="11">
        <v>4423300000</v>
      </c>
    </row>
    <row r="21" spans="1:18" ht="16.5" x14ac:dyDescent="0.3">
      <c r="A21" s="13" t="s">
        <v>32</v>
      </c>
      <c r="B21" s="13"/>
      <c r="C21" s="31" t="s">
        <v>97</v>
      </c>
      <c r="D21" s="31"/>
      <c r="E21" s="220"/>
      <c r="F21" s="11"/>
      <c r="G21" s="11" t="s">
        <v>11</v>
      </c>
      <c r="H21" s="11" t="s">
        <v>18</v>
      </c>
      <c r="I21" s="11" t="s">
        <v>79</v>
      </c>
      <c r="J21" s="19">
        <v>2549</v>
      </c>
      <c r="K21" s="20">
        <v>637</v>
      </c>
      <c r="L21" s="11">
        <v>2549</v>
      </c>
      <c r="M21" s="20">
        <v>637</v>
      </c>
      <c r="N21" s="22">
        <f t="shared" si="1"/>
        <v>0.2499019223224794</v>
      </c>
      <c r="O21" s="16" t="s">
        <v>12</v>
      </c>
      <c r="P21" s="16" t="s">
        <v>12</v>
      </c>
      <c r="Q21" s="16" t="s">
        <v>12</v>
      </c>
      <c r="R21" s="76">
        <v>1420300000</v>
      </c>
    </row>
    <row r="22" spans="1:18" ht="16.5" x14ac:dyDescent="0.3">
      <c r="A22" s="13" t="s">
        <v>48</v>
      </c>
      <c r="B22" s="13"/>
      <c r="C22" s="31" t="s">
        <v>97</v>
      </c>
      <c r="D22" s="31"/>
      <c r="E22" s="220"/>
      <c r="F22" s="11"/>
      <c r="G22" s="17" t="s">
        <v>11</v>
      </c>
      <c r="H22" s="17" t="s">
        <v>26</v>
      </c>
      <c r="I22" s="17" t="s">
        <v>46</v>
      </c>
      <c r="J22" s="19">
        <v>10785</v>
      </c>
      <c r="K22" s="20">
        <v>1200</v>
      </c>
      <c r="L22" s="16" t="s">
        <v>49</v>
      </c>
      <c r="M22" s="20">
        <v>1200</v>
      </c>
      <c r="N22" s="22">
        <f t="shared" si="1"/>
        <v>0.11126564673157163</v>
      </c>
      <c r="O22" s="18" t="s">
        <v>12</v>
      </c>
      <c r="P22" s="18" t="s">
        <v>12</v>
      </c>
      <c r="Q22" s="18" t="s">
        <v>12</v>
      </c>
      <c r="R22" s="77">
        <v>1423900000</v>
      </c>
    </row>
    <row r="23" spans="1:18" ht="16.5" x14ac:dyDescent="0.3">
      <c r="A23" s="13" t="s">
        <v>50</v>
      </c>
      <c r="B23" s="13"/>
      <c r="C23" s="31" t="s">
        <v>97</v>
      </c>
      <c r="D23" s="31"/>
      <c r="E23" s="220"/>
      <c r="F23" s="11" t="s">
        <v>78</v>
      </c>
      <c r="G23" s="11" t="s">
        <v>11</v>
      </c>
      <c r="H23" s="11" t="s">
        <v>18</v>
      </c>
      <c r="I23" s="11" t="s">
        <v>79</v>
      </c>
      <c r="J23" s="19">
        <v>21265</v>
      </c>
      <c r="K23" s="20">
        <v>4253</v>
      </c>
      <c r="L23" s="15">
        <v>21265</v>
      </c>
      <c r="M23" s="20">
        <v>4253</v>
      </c>
      <c r="N23" s="22">
        <f t="shared" si="1"/>
        <v>0.2</v>
      </c>
      <c r="O23" s="16" t="s">
        <v>12</v>
      </c>
      <c r="P23" s="16" t="s">
        <v>12</v>
      </c>
      <c r="Q23" s="16" t="s">
        <v>12</v>
      </c>
      <c r="R23" s="76">
        <v>1424200000</v>
      </c>
    </row>
    <row r="24" spans="1:18" ht="16.5" x14ac:dyDescent="0.3">
      <c r="A24" s="13" t="s">
        <v>72</v>
      </c>
      <c r="B24" s="13"/>
      <c r="C24" s="31" t="s">
        <v>97</v>
      </c>
      <c r="D24" s="31"/>
      <c r="E24" s="220"/>
      <c r="F24" s="11"/>
      <c r="G24" s="11" t="s">
        <v>55</v>
      </c>
      <c r="H24" s="11" t="s">
        <v>15</v>
      </c>
      <c r="I24" s="27" t="s">
        <v>16</v>
      </c>
      <c r="J24" s="19">
        <v>23446</v>
      </c>
      <c r="K24" s="20">
        <v>2159</v>
      </c>
      <c r="L24" s="15" t="s">
        <v>73</v>
      </c>
      <c r="M24" s="20" t="s">
        <v>85</v>
      </c>
      <c r="N24" s="22">
        <v>0.09</v>
      </c>
      <c r="O24" s="16" t="s">
        <v>12</v>
      </c>
      <c r="P24" s="16" t="s">
        <v>12</v>
      </c>
      <c r="Q24" s="16" t="s">
        <v>12</v>
      </c>
      <c r="R24" s="11">
        <v>4425100000</v>
      </c>
    </row>
    <row r="25" spans="1:18" ht="16.5" x14ac:dyDescent="0.3">
      <c r="A25" s="13" t="s">
        <v>69</v>
      </c>
      <c r="B25" s="13"/>
      <c r="C25" s="31" t="s">
        <v>97</v>
      </c>
      <c r="D25" s="31"/>
      <c r="E25" s="220"/>
      <c r="F25" s="11"/>
      <c r="G25" s="11" t="s">
        <v>55</v>
      </c>
      <c r="H25" s="11" t="s">
        <v>53</v>
      </c>
      <c r="I25" s="11" t="s">
        <v>54</v>
      </c>
      <c r="J25" s="19">
        <v>6164</v>
      </c>
      <c r="K25" s="20">
        <v>1703</v>
      </c>
      <c r="L25" s="15">
        <v>6164</v>
      </c>
      <c r="M25" s="20">
        <v>1703</v>
      </c>
      <c r="N25" s="22">
        <f t="shared" ref="N25:N35" si="2">M25/J25</f>
        <v>0.27628163530175209</v>
      </c>
      <c r="O25" s="16" t="s">
        <v>12</v>
      </c>
      <c r="P25" s="16" t="s">
        <v>12</v>
      </c>
      <c r="Q25" s="16" t="s">
        <v>12</v>
      </c>
      <c r="R25" s="11">
        <v>4424000000</v>
      </c>
    </row>
    <row r="26" spans="1:18" ht="16.5" x14ac:dyDescent="0.3">
      <c r="A26" s="13" t="s">
        <v>74</v>
      </c>
      <c r="B26" s="13"/>
      <c r="C26" s="31" t="s">
        <v>97</v>
      </c>
      <c r="D26" s="31"/>
      <c r="E26" s="220"/>
      <c r="F26" s="11"/>
      <c r="G26" s="11" t="s">
        <v>55</v>
      </c>
      <c r="H26" s="11" t="s">
        <v>15</v>
      </c>
      <c r="I26" s="27" t="s">
        <v>16</v>
      </c>
      <c r="J26" s="19">
        <v>2795</v>
      </c>
      <c r="K26" s="20">
        <v>1400</v>
      </c>
      <c r="L26" s="15" t="s">
        <v>75</v>
      </c>
      <c r="M26" s="20">
        <v>1400</v>
      </c>
      <c r="N26" s="22">
        <f t="shared" si="2"/>
        <v>0.50089445438282643</v>
      </c>
      <c r="O26" s="16" t="s">
        <v>12</v>
      </c>
      <c r="P26" s="16" t="s">
        <v>12</v>
      </c>
      <c r="Q26" s="16" t="s">
        <v>12</v>
      </c>
      <c r="R26" s="11">
        <v>4425400000</v>
      </c>
    </row>
    <row r="27" spans="1:18" ht="16.5" x14ac:dyDescent="0.3">
      <c r="A27" s="13" t="s">
        <v>34</v>
      </c>
      <c r="B27" s="13"/>
      <c r="C27" s="31" t="s">
        <v>97</v>
      </c>
      <c r="D27" s="31"/>
      <c r="E27" s="220"/>
      <c r="F27" s="11"/>
      <c r="G27" s="11" t="s">
        <v>11</v>
      </c>
      <c r="H27" s="11" t="s">
        <v>84</v>
      </c>
      <c r="I27" s="11" t="s">
        <v>81</v>
      </c>
      <c r="J27" s="19">
        <v>17908</v>
      </c>
      <c r="K27" s="20">
        <v>12147</v>
      </c>
      <c r="L27" s="15" t="s">
        <v>36</v>
      </c>
      <c r="M27" s="20">
        <v>12147</v>
      </c>
      <c r="N27" s="22">
        <f t="shared" si="2"/>
        <v>0.67830020102747379</v>
      </c>
      <c r="O27" s="16" t="s">
        <v>12</v>
      </c>
      <c r="P27" s="16" t="s">
        <v>12</v>
      </c>
      <c r="Q27" s="16" t="s">
        <v>12</v>
      </c>
      <c r="R27" s="11">
        <v>1421200000</v>
      </c>
    </row>
    <row r="28" spans="1:18" ht="16.5" x14ac:dyDescent="0.3">
      <c r="A28" s="13" t="s">
        <v>39</v>
      </c>
      <c r="B28" s="13"/>
      <c r="C28" s="31" t="s">
        <v>97</v>
      </c>
      <c r="D28" s="31"/>
      <c r="E28" s="220"/>
      <c r="F28" s="11"/>
      <c r="G28" s="17" t="s">
        <v>11</v>
      </c>
      <c r="H28" s="11" t="s">
        <v>88</v>
      </c>
      <c r="I28" s="11" t="s">
        <v>35</v>
      </c>
      <c r="J28" s="19">
        <v>8243</v>
      </c>
      <c r="K28" s="20">
        <v>500</v>
      </c>
      <c r="L28" s="15" t="s">
        <v>86</v>
      </c>
      <c r="M28" s="20">
        <v>500</v>
      </c>
      <c r="N28" s="22">
        <f t="shared" si="2"/>
        <v>6.065752759917506E-2</v>
      </c>
      <c r="O28" s="18" t="s">
        <v>12</v>
      </c>
      <c r="P28" s="18" t="s">
        <v>12</v>
      </c>
      <c r="Q28" s="18" t="s">
        <v>12</v>
      </c>
      <c r="R28" s="17">
        <v>1421700000</v>
      </c>
    </row>
    <row r="29" spans="1:18" s="6" customFormat="1" ht="16.5" x14ac:dyDescent="0.3">
      <c r="A29" s="13" t="s">
        <v>13</v>
      </c>
      <c r="B29" s="13"/>
      <c r="C29" s="31" t="s">
        <v>96</v>
      </c>
      <c r="D29" s="31"/>
      <c r="E29" s="220">
        <v>0.49118809046664802</v>
      </c>
      <c r="F29" s="11"/>
      <c r="G29" s="11" t="s">
        <v>11</v>
      </c>
      <c r="H29" s="11" t="s">
        <v>10</v>
      </c>
      <c r="I29" s="11"/>
      <c r="J29" s="19">
        <v>91960</v>
      </c>
      <c r="K29" s="20">
        <v>6920</v>
      </c>
      <c r="L29" s="15">
        <v>91960</v>
      </c>
      <c r="M29" s="20">
        <v>6920</v>
      </c>
      <c r="N29" s="22">
        <f t="shared" si="2"/>
        <v>7.5250108742931712E-2</v>
      </c>
      <c r="O29" s="16" t="s">
        <v>12</v>
      </c>
      <c r="P29" s="16" t="s">
        <v>12</v>
      </c>
      <c r="Q29" s="16" t="s">
        <v>12</v>
      </c>
      <c r="R29" s="11">
        <v>1410300000</v>
      </c>
    </row>
    <row r="30" spans="1:18" ht="16.5" x14ac:dyDescent="0.3">
      <c r="A30" s="13" t="s">
        <v>19</v>
      </c>
      <c r="B30" s="13"/>
      <c r="C30" s="31" t="s">
        <v>96</v>
      </c>
      <c r="D30" s="31"/>
      <c r="E30" s="220"/>
      <c r="F30" s="11" t="s">
        <v>77</v>
      </c>
      <c r="G30" s="11" t="s">
        <v>11</v>
      </c>
      <c r="H30" s="11" t="s">
        <v>10</v>
      </c>
      <c r="I30" s="11"/>
      <c r="J30" s="19">
        <v>16031</v>
      </c>
      <c r="K30" s="20">
        <v>3203</v>
      </c>
      <c r="L30" s="15">
        <v>16015</v>
      </c>
      <c r="M30" s="20">
        <v>3203</v>
      </c>
      <c r="N30" s="22">
        <f t="shared" si="2"/>
        <v>0.19980038675067058</v>
      </c>
      <c r="O30" s="16" t="s">
        <v>12</v>
      </c>
      <c r="P30" s="16" t="s">
        <v>12</v>
      </c>
      <c r="Q30" s="16" t="s">
        <v>12</v>
      </c>
      <c r="R30" s="11">
        <v>1411500000</v>
      </c>
    </row>
    <row r="31" spans="1:18" ht="16.5" x14ac:dyDescent="0.3">
      <c r="A31" s="13" t="s">
        <v>20</v>
      </c>
      <c r="B31" s="13"/>
      <c r="C31" s="31" t="s">
        <v>96</v>
      </c>
      <c r="D31" s="31"/>
      <c r="E31" s="220"/>
      <c r="F31" s="11"/>
      <c r="G31" s="11" t="s">
        <v>11</v>
      </c>
      <c r="H31" s="11" t="s">
        <v>18</v>
      </c>
      <c r="I31" s="11" t="s">
        <v>79</v>
      </c>
      <c r="J31" s="19">
        <v>22977</v>
      </c>
      <c r="K31" s="20">
        <v>8042</v>
      </c>
      <c r="L31" s="15">
        <v>22977</v>
      </c>
      <c r="M31" s="20">
        <v>8042</v>
      </c>
      <c r="N31" s="22">
        <f t="shared" si="2"/>
        <v>0.35000217608913259</v>
      </c>
      <c r="O31" s="16" t="s">
        <v>12</v>
      </c>
      <c r="P31" s="16" t="s">
        <v>12</v>
      </c>
      <c r="Q31" s="16" t="s">
        <v>12</v>
      </c>
      <c r="R31" s="11">
        <v>1411700000</v>
      </c>
    </row>
    <row r="32" spans="1:18" ht="16.5" x14ac:dyDescent="0.3">
      <c r="A32" s="13" t="s">
        <v>17</v>
      </c>
      <c r="B32" s="13"/>
      <c r="C32" s="31" t="s">
        <v>96</v>
      </c>
      <c r="D32" s="31"/>
      <c r="E32" s="220"/>
      <c r="F32" s="11"/>
      <c r="G32" s="11" t="s">
        <v>11</v>
      </c>
      <c r="H32" s="11" t="s">
        <v>18</v>
      </c>
      <c r="I32" s="11" t="s">
        <v>79</v>
      </c>
      <c r="J32" s="19">
        <v>24145</v>
      </c>
      <c r="K32" s="20">
        <v>3622</v>
      </c>
      <c r="L32" s="15">
        <v>24145</v>
      </c>
      <c r="M32" s="20">
        <v>3622</v>
      </c>
      <c r="N32" s="22">
        <f t="shared" si="2"/>
        <v>0.15001035411058189</v>
      </c>
      <c r="O32" s="16" t="s">
        <v>12</v>
      </c>
      <c r="P32" s="16" t="s">
        <v>12</v>
      </c>
      <c r="Q32" s="16" t="s">
        <v>12</v>
      </c>
      <c r="R32" s="11">
        <v>1411300000</v>
      </c>
    </row>
    <row r="33" spans="1:18" ht="16.5" x14ac:dyDescent="0.3">
      <c r="A33" s="13" t="s">
        <v>22</v>
      </c>
      <c r="B33" s="13"/>
      <c r="C33" s="31" t="s">
        <v>96</v>
      </c>
      <c r="D33" s="31"/>
      <c r="E33" s="220"/>
      <c r="F33" s="11"/>
      <c r="G33" s="11" t="s">
        <v>11</v>
      </c>
      <c r="H33" s="11" t="s">
        <v>10</v>
      </c>
      <c r="I33" s="11"/>
      <c r="J33" s="19">
        <v>51722</v>
      </c>
      <c r="K33" s="20">
        <v>2000</v>
      </c>
      <c r="L33" s="15">
        <v>47000</v>
      </c>
      <c r="M33" s="20">
        <v>2000</v>
      </c>
      <c r="N33" s="22">
        <f t="shared" si="2"/>
        <v>3.8668264954951473E-2</v>
      </c>
      <c r="O33" s="16" t="s">
        <v>12</v>
      </c>
      <c r="P33" s="16">
        <v>7000</v>
      </c>
      <c r="Q33" s="16" t="s">
        <v>12</v>
      </c>
      <c r="R33" s="11">
        <v>1412600000</v>
      </c>
    </row>
    <row r="34" spans="1:18" ht="16.5" x14ac:dyDescent="0.3">
      <c r="A34" s="13" t="s">
        <v>23</v>
      </c>
      <c r="B34" s="13"/>
      <c r="C34" s="32" t="s">
        <v>96</v>
      </c>
      <c r="D34" s="32"/>
      <c r="E34" s="220"/>
      <c r="F34" s="11"/>
      <c r="G34" s="11" t="s">
        <v>11</v>
      </c>
      <c r="H34" s="11" t="s">
        <v>15</v>
      </c>
      <c r="I34" s="11" t="s">
        <v>24</v>
      </c>
      <c r="J34" s="19">
        <v>69656</v>
      </c>
      <c r="K34" s="20">
        <v>9000</v>
      </c>
      <c r="L34" s="15">
        <v>70000</v>
      </c>
      <c r="M34" s="20">
        <v>9000</v>
      </c>
      <c r="N34" s="22">
        <f t="shared" si="2"/>
        <v>0.12920638566670495</v>
      </c>
      <c r="O34" s="16">
        <v>200</v>
      </c>
      <c r="P34" s="16">
        <v>5000</v>
      </c>
      <c r="Q34" s="16">
        <v>1000</v>
      </c>
      <c r="R34" s="11">
        <v>1412900000</v>
      </c>
    </row>
    <row r="35" spans="1:18" ht="16.5" x14ac:dyDescent="0.3">
      <c r="A35" s="13" t="s">
        <v>25</v>
      </c>
      <c r="B35" s="13"/>
      <c r="C35" s="32" t="s">
        <v>96</v>
      </c>
      <c r="D35" s="32"/>
      <c r="E35" s="220"/>
      <c r="F35" s="11" t="s">
        <v>77</v>
      </c>
      <c r="G35" s="11" t="s">
        <v>11</v>
      </c>
      <c r="H35" s="11" t="s">
        <v>26</v>
      </c>
      <c r="I35" s="11" t="s">
        <v>16</v>
      </c>
      <c r="J35" s="19">
        <v>24250</v>
      </c>
      <c r="K35" s="20">
        <v>2183</v>
      </c>
      <c r="L35" s="15">
        <v>24250</v>
      </c>
      <c r="M35" s="20">
        <v>2183</v>
      </c>
      <c r="N35" s="22">
        <f t="shared" si="2"/>
        <v>9.0020618556701029E-2</v>
      </c>
      <c r="O35" s="16" t="s">
        <v>12</v>
      </c>
      <c r="P35" s="16" t="s">
        <v>12</v>
      </c>
      <c r="Q35" s="16" t="s">
        <v>12</v>
      </c>
      <c r="R35" s="11">
        <v>1413200000</v>
      </c>
    </row>
    <row r="36" spans="1:18" ht="16.5" x14ac:dyDescent="0.3">
      <c r="A36" s="14" t="s">
        <v>27</v>
      </c>
      <c r="B36" s="14"/>
      <c r="C36" s="32" t="s">
        <v>96</v>
      </c>
      <c r="D36" s="32"/>
      <c r="E36" s="220"/>
      <c r="F36" s="19" t="s">
        <v>77</v>
      </c>
      <c r="G36" s="19" t="s">
        <v>11</v>
      </c>
      <c r="H36" s="19" t="s">
        <v>12</v>
      </c>
      <c r="I36" s="19" t="s">
        <v>12</v>
      </c>
      <c r="J36" s="15" t="s">
        <v>12</v>
      </c>
      <c r="K36" s="15">
        <v>0</v>
      </c>
      <c r="L36" s="15" t="s">
        <v>12</v>
      </c>
      <c r="M36" s="15" t="s">
        <v>12</v>
      </c>
      <c r="N36" s="21" t="s">
        <v>12</v>
      </c>
      <c r="O36" s="15" t="s">
        <v>12</v>
      </c>
      <c r="P36" s="15" t="s">
        <v>12</v>
      </c>
      <c r="Q36" s="15" t="s">
        <v>12</v>
      </c>
      <c r="R36" s="19">
        <v>1423000000</v>
      </c>
    </row>
    <row r="37" spans="1:18" ht="16.5" x14ac:dyDescent="0.3">
      <c r="A37" s="13" t="s">
        <v>52</v>
      </c>
      <c r="B37" s="13"/>
      <c r="C37" s="31" t="s">
        <v>96</v>
      </c>
      <c r="D37" s="31"/>
      <c r="E37" s="220"/>
      <c r="F37" s="11"/>
      <c r="G37" s="11" t="s">
        <v>55</v>
      </c>
      <c r="H37" s="11" t="s">
        <v>53</v>
      </c>
      <c r="I37" s="11" t="s">
        <v>54</v>
      </c>
      <c r="J37" s="19">
        <v>22201</v>
      </c>
      <c r="K37" s="20">
        <v>4663</v>
      </c>
      <c r="L37" s="15">
        <v>22201</v>
      </c>
      <c r="M37" s="20">
        <v>4663</v>
      </c>
      <c r="N37" s="22">
        <f t="shared" ref="N37:N44" si="3">M37/J37</f>
        <v>0.21003558398270347</v>
      </c>
      <c r="O37" s="16" t="s">
        <v>12</v>
      </c>
      <c r="P37" s="16" t="s">
        <v>12</v>
      </c>
      <c r="Q37" s="16" t="s">
        <v>12</v>
      </c>
      <c r="R37" s="11">
        <v>4411800000</v>
      </c>
    </row>
    <row r="38" spans="1:18" ht="16.5" x14ac:dyDescent="0.3">
      <c r="A38" s="13" t="s">
        <v>21</v>
      </c>
      <c r="B38" s="13"/>
      <c r="C38" s="31" t="s">
        <v>96</v>
      </c>
      <c r="D38" s="31"/>
      <c r="E38" s="220"/>
      <c r="F38" s="11"/>
      <c r="G38" s="11" t="s">
        <v>11</v>
      </c>
      <c r="H38" s="11" t="s">
        <v>10</v>
      </c>
      <c r="I38" s="11"/>
      <c r="J38" s="19">
        <v>106616</v>
      </c>
      <c r="K38" s="20">
        <v>40000</v>
      </c>
      <c r="L38" s="15">
        <v>87000</v>
      </c>
      <c r="M38" s="20">
        <v>40000</v>
      </c>
      <c r="N38" s="22">
        <f t="shared" si="3"/>
        <v>0.37517820964958354</v>
      </c>
      <c r="O38" s="16" t="s">
        <v>12</v>
      </c>
      <c r="P38" s="16" t="s">
        <v>12</v>
      </c>
      <c r="Q38" s="16" t="s">
        <v>12</v>
      </c>
      <c r="R38" s="11">
        <v>1412300000</v>
      </c>
    </row>
    <row r="39" spans="1:18" ht="16.5" x14ac:dyDescent="0.3">
      <c r="A39" s="13" t="s">
        <v>28</v>
      </c>
      <c r="B39" s="13"/>
      <c r="C39" s="31" t="s">
        <v>96</v>
      </c>
      <c r="D39" s="31"/>
      <c r="E39" s="220"/>
      <c r="F39" s="11"/>
      <c r="G39" s="11" t="s">
        <v>11</v>
      </c>
      <c r="H39" s="11" t="s">
        <v>18</v>
      </c>
      <c r="I39" s="11" t="s">
        <v>79</v>
      </c>
      <c r="J39" s="19">
        <v>13205</v>
      </c>
      <c r="K39" s="20">
        <v>1321</v>
      </c>
      <c r="L39" s="15">
        <v>13205</v>
      </c>
      <c r="M39" s="20">
        <v>1321</v>
      </c>
      <c r="N39" s="22">
        <f t="shared" si="3"/>
        <v>0.10003786444528588</v>
      </c>
      <c r="O39" s="16" t="s">
        <v>12</v>
      </c>
      <c r="P39" s="16" t="s">
        <v>12</v>
      </c>
      <c r="Q39" s="16" t="s">
        <v>12</v>
      </c>
      <c r="R39" s="11">
        <v>1413600000</v>
      </c>
    </row>
    <row r="40" spans="1:18" ht="16.5" x14ac:dyDescent="0.3">
      <c r="A40" s="13" t="s">
        <v>56</v>
      </c>
      <c r="B40" s="13"/>
      <c r="C40" s="31" t="s">
        <v>96</v>
      </c>
      <c r="D40" s="31"/>
      <c r="E40" s="220"/>
      <c r="F40" s="11"/>
      <c r="G40" s="11" t="s">
        <v>55</v>
      </c>
      <c r="H40" s="11" t="s">
        <v>53</v>
      </c>
      <c r="I40" s="11" t="s">
        <v>57</v>
      </c>
      <c r="J40" s="19">
        <v>11370</v>
      </c>
      <c r="K40" s="20">
        <v>3629</v>
      </c>
      <c r="L40" s="15">
        <v>11370</v>
      </c>
      <c r="M40" s="20">
        <v>3629</v>
      </c>
      <c r="N40" s="22">
        <f t="shared" si="3"/>
        <v>0.31917326297273529</v>
      </c>
      <c r="O40" s="16" t="s">
        <v>12</v>
      </c>
      <c r="P40" s="16" t="s">
        <v>12</v>
      </c>
      <c r="Q40" s="16" t="s">
        <v>12</v>
      </c>
      <c r="R40" s="11">
        <v>4412500000</v>
      </c>
    </row>
    <row r="41" spans="1:18" s="10" customFormat="1" ht="16.5" x14ac:dyDescent="0.3">
      <c r="A41" s="14" t="s">
        <v>29</v>
      </c>
      <c r="B41" s="14"/>
      <c r="C41" s="32" t="s">
        <v>96</v>
      </c>
      <c r="D41" s="32"/>
      <c r="E41" s="220"/>
      <c r="F41" s="11"/>
      <c r="G41" s="11" t="s">
        <v>11</v>
      </c>
      <c r="H41" s="11" t="s">
        <v>10</v>
      </c>
      <c r="I41" s="11"/>
      <c r="J41" s="19">
        <v>29037</v>
      </c>
      <c r="K41" s="20">
        <v>3000</v>
      </c>
      <c r="L41" s="15">
        <v>29037</v>
      </c>
      <c r="M41" s="20">
        <v>3000</v>
      </c>
      <c r="N41" s="22">
        <f t="shared" si="3"/>
        <v>0.10331645831180906</v>
      </c>
      <c r="O41" s="15">
        <v>1500</v>
      </c>
      <c r="P41" s="16">
        <v>200</v>
      </c>
      <c r="Q41" s="16">
        <v>20</v>
      </c>
      <c r="R41" s="11">
        <v>1413800000</v>
      </c>
    </row>
    <row r="42" spans="1:18" s="6" customFormat="1" ht="16.5" x14ac:dyDescent="0.3">
      <c r="A42" s="13" t="s">
        <v>58</v>
      </c>
      <c r="B42" s="13"/>
      <c r="C42" s="31" t="s">
        <v>96</v>
      </c>
      <c r="D42" s="31"/>
      <c r="E42" s="220"/>
      <c r="F42" s="11"/>
      <c r="G42" s="11" t="s">
        <v>55</v>
      </c>
      <c r="H42" s="11" t="s">
        <v>53</v>
      </c>
      <c r="I42" s="11" t="s">
        <v>54</v>
      </c>
      <c r="J42" s="19">
        <v>54497</v>
      </c>
      <c r="K42" s="20">
        <v>11215</v>
      </c>
      <c r="L42" s="15">
        <v>54497</v>
      </c>
      <c r="M42" s="20">
        <v>11215</v>
      </c>
      <c r="N42" s="22">
        <f t="shared" si="3"/>
        <v>0.20579114446666788</v>
      </c>
      <c r="O42" s="16" t="s">
        <v>12</v>
      </c>
      <c r="P42" s="16" t="s">
        <v>12</v>
      </c>
      <c r="Q42" s="16" t="s">
        <v>12</v>
      </c>
      <c r="R42" s="11">
        <v>4412900000</v>
      </c>
    </row>
    <row r="43" spans="1:18" ht="16.5" x14ac:dyDescent="0.3">
      <c r="A43" s="13" t="s">
        <v>30</v>
      </c>
      <c r="B43" s="13"/>
      <c r="C43" s="31" t="s">
        <v>96</v>
      </c>
      <c r="D43" s="31"/>
      <c r="E43" s="220"/>
      <c r="F43" s="11" t="s">
        <v>77</v>
      </c>
      <c r="G43" s="11" t="s">
        <v>11</v>
      </c>
      <c r="H43" s="11" t="s">
        <v>18</v>
      </c>
      <c r="I43" s="11" t="s">
        <v>79</v>
      </c>
      <c r="J43" s="19">
        <v>48433</v>
      </c>
      <c r="K43" s="20">
        <v>24217</v>
      </c>
      <c r="L43" s="15">
        <v>48433</v>
      </c>
      <c r="M43" s="20">
        <v>24217</v>
      </c>
      <c r="N43" s="22">
        <f t="shared" si="3"/>
        <v>0.50001032353973529</v>
      </c>
      <c r="O43" s="16" t="s">
        <v>12</v>
      </c>
      <c r="P43" s="16" t="s">
        <v>12</v>
      </c>
      <c r="Q43" s="16" t="s">
        <v>12</v>
      </c>
      <c r="R43" s="11">
        <v>1414100000</v>
      </c>
    </row>
    <row r="44" spans="1:18" ht="16.5" x14ac:dyDescent="0.3">
      <c r="A44" s="13" t="s">
        <v>31</v>
      </c>
      <c r="B44" s="13"/>
      <c r="C44" s="31" t="s">
        <v>96</v>
      </c>
      <c r="D44" s="31"/>
      <c r="E44" s="220"/>
      <c r="F44" s="11"/>
      <c r="G44" s="11" t="s">
        <v>11</v>
      </c>
      <c r="H44" s="11" t="s">
        <v>82</v>
      </c>
      <c r="I44" s="11" t="s">
        <v>79</v>
      </c>
      <c r="J44" s="19">
        <v>10319</v>
      </c>
      <c r="K44" s="20">
        <v>5664</v>
      </c>
      <c r="L44" s="15">
        <v>10319</v>
      </c>
      <c r="M44" s="20">
        <v>5664</v>
      </c>
      <c r="N44" s="22">
        <f t="shared" si="3"/>
        <v>0.54889039635623604</v>
      </c>
      <c r="O44" s="16" t="s">
        <v>12</v>
      </c>
      <c r="P44" s="16" t="s">
        <v>12</v>
      </c>
      <c r="Q44" s="16" t="s">
        <v>12</v>
      </c>
      <c r="R44" s="11">
        <v>1414800000</v>
      </c>
    </row>
    <row r="45" spans="1:18" s="10" customFormat="1" ht="15" x14ac:dyDescent="0.25">
      <c r="A45" s="7"/>
      <c r="B45" s="7"/>
      <c r="C45" s="29"/>
      <c r="D45" s="29"/>
      <c r="E45" s="29"/>
      <c r="F45" s="7"/>
      <c r="G45" s="7"/>
      <c r="H45" s="7"/>
      <c r="I45" s="7"/>
      <c r="J45" s="7"/>
      <c r="K45" s="7"/>
      <c r="L45" s="4"/>
      <c r="M45" s="8"/>
      <c r="N45" s="9"/>
      <c r="O45" s="4"/>
      <c r="P45" s="4"/>
      <c r="Q45" s="4"/>
      <c r="R45" s="7"/>
    </row>
    <row r="46" spans="1:18" s="10" customFormat="1" ht="15" x14ac:dyDescent="0.25">
      <c r="A46" s="7"/>
      <c r="B46" s="7"/>
      <c r="C46" s="29"/>
      <c r="D46" s="29"/>
      <c r="E46" s="29"/>
      <c r="F46" s="7"/>
      <c r="G46" s="7"/>
      <c r="H46" s="7"/>
      <c r="I46" s="7"/>
      <c r="J46" s="7"/>
      <c r="K46" s="7"/>
      <c r="L46" s="4"/>
      <c r="M46" s="8"/>
      <c r="N46" s="9"/>
      <c r="O46" s="2"/>
      <c r="P46" s="4"/>
      <c r="Q46" s="2"/>
      <c r="R46" s="7"/>
    </row>
    <row r="47" spans="1:18" s="10" customFormat="1" ht="15" x14ac:dyDescent="0.25">
      <c r="A47" s="7"/>
      <c r="B47" s="7"/>
      <c r="C47" s="29"/>
      <c r="D47" s="29"/>
      <c r="E47" s="29"/>
      <c r="F47" s="7"/>
      <c r="G47" s="7"/>
      <c r="H47" s="7"/>
      <c r="I47" s="7"/>
      <c r="J47" s="7"/>
      <c r="K47" s="7"/>
      <c r="L47" s="4"/>
      <c r="M47" s="8"/>
      <c r="N47" s="9"/>
      <c r="O47" s="4"/>
      <c r="P47" s="4"/>
      <c r="Q47" s="4"/>
      <c r="R47" s="7"/>
    </row>
    <row r="48" spans="1:18" s="10" customFormat="1" ht="15" x14ac:dyDescent="0.25">
      <c r="A48" s="7"/>
      <c r="B48" s="7"/>
      <c r="C48" s="29"/>
      <c r="D48" s="29"/>
      <c r="E48" s="29"/>
      <c r="F48" s="7"/>
      <c r="G48" s="7"/>
      <c r="H48" s="7"/>
      <c r="I48" s="7"/>
      <c r="J48" s="7"/>
      <c r="K48" s="7"/>
      <c r="L48" s="4"/>
      <c r="M48" s="8"/>
      <c r="N48" s="9"/>
      <c r="O48" s="4"/>
      <c r="P48" s="4"/>
      <c r="Q48" s="4"/>
      <c r="R48" s="7"/>
    </row>
    <row r="49" spans="1:18" s="10" customFormat="1" ht="15" x14ac:dyDescent="0.25">
      <c r="A49" s="7"/>
      <c r="B49" s="7"/>
      <c r="C49" s="29"/>
      <c r="D49" s="29"/>
      <c r="E49" s="29"/>
      <c r="F49" s="7"/>
      <c r="G49" s="7"/>
      <c r="H49" s="7"/>
      <c r="I49" s="7"/>
      <c r="J49" s="7"/>
      <c r="K49" s="7"/>
      <c r="L49" s="4"/>
      <c r="M49" s="8"/>
      <c r="N49" s="9"/>
      <c r="O49" s="4"/>
      <c r="P49" s="4"/>
      <c r="Q49" s="4"/>
      <c r="R49" s="7"/>
    </row>
    <row r="50" spans="1:18" s="10" customFormat="1" ht="15" x14ac:dyDescent="0.25">
      <c r="A50" s="7"/>
      <c r="B50" s="7"/>
      <c r="C50" s="29"/>
      <c r="D50" s="29"/>
      <c r="E50" s="29"/>
      <c r="F50" s="7"/>
      <c r="G50" s="7"/>
      <c r="H50" s="7"/>
      <c r="I50" s="7"/>
      <c r="J50" s="7"/>
      <c r="K50" s="7"/>
      <c r="L50" s="4"/>
      <c r="M50" s="8"/>
      <c r="N50" s="9"/>
      <c r="O50" s="4"/>
      <c r="P50" s="4"/>
      <c r="Q50" s="4"/>
      <c r="R50" s="7"/>
    </row>
    <row r="51" spans="1:18" s="10" customFormat="1" ht="15" x14ac:dyDescent="0.25">
      <c r="A51" s="7"/>
      <c r="B51" s="7"/>
      <c r="C51" s="29"/>
      <c r="D51" s="29"/>
      <c r="E51" s="29"/>
      <c r="F51" s="7"/>
      <c r="G51" s="7"/>
      <c r="H51" s="7"/>
      <c r="I51" s="7"/>
      <c r="J51" s="7"/>
      <c r="K51" s="7"/>
      <c r="L51" s="4"/>
      <c r="M51" s="8"/>
      <c r="N51" s="9"/>
      <c r="O51" s="4"/>
      <c r="P51" s="4"/>
      <c r="Q51" s="4"/>
      <c r="R51" s="7"/>
    </row>
    <row r="52" spans="1:18" s="10" customFormat="1" ht="15" x14ac:dyDescent="0.25">
      <c r="A52" s="7"/>
      <c r="B52" s="7"/>
      <c r="C52" s="29"/>
      <c r="D52" s="29"/>
      <c r="E52" s="29"/>
      <c r="F52" s="7"/>
      <c r="G52" s="7"/>
      <c r="H52" s="7"/>
      <c r="I52" s="7"/>
      <c r="J52" s="7"/>
      <c r="K52" s="7"/>
      <c r="L52" s="4"/>
      <c r="M52" s="8"/>
      <c r="N52" s="9"/>
      <c r="O52" s="4"/>
      <c r="P52" s="4"/>
      <c r="Q52" s="4"/>
      <c r="R52" s="7"/>
    </row>
    <row r="53" spans="1:18" s="10" customFormat="1" ht="15" x14ac:dyDescent="0.25">
      <c r="A53" s="7"/>
      <c r="B53" s="7"/>
      <c r="C53" s="29"/>
      <c r="D53" s="29"/>
      <c r="E53" s="29"/>
      <c r="F53" s="7"/>
      <c r="G53" s="7"/>
      <c r="H53" s="7"/>
      <c r="I53" s="7"/>
      <c r="J53" s="7"/>
      <c r="K53" s="7"/>
      <c r="L53" s="4"/>
      <c r="M53" s="8"/>
      <c r="N53" s="9"/>
      <c r="O53" s="4"/>
      <c r="P53" s="4"/>
      <c r="Q53" s="4"/>
      <c r="R53" s="7"/>
    </row>
    <row r="54" spans="1:18" s="10" customFormat="1" ht="15" x14ac:dyDescent="0.25">
      <c r="A54" s="7"/>
      <c r="B54" s="7"/>
      <c r="C54" s="29"/>
      <c r="D54" s="29"/>
      <c r="E54" s="29"/>
      <c r="F54" s="7"/>
      <c r="G54" s="7"/>
      <c r="H54" s="7"/>
      <c r="I54" s="7"/>
      <c r="J54" s="7"/>
      <c r="K54" s="7"/>
      <c r="L54" s="4"/>
      <c r="M54" s="8"/>
      <c r="N54" s="9"/>
      <c r="O54" s="4"/>
      <c r="P54" s="4"/>
      <c r="Q54" s="4"/>
      <c r="R54" s="7"/>
    </row>
    <row r="55" spans="1:18" s="10" customFormat="1" ht="15" x14ac:dyDescent="0.25">
      <c r="A55" s="7"/>
      <c r="B55" s="7"/>
      <c r="C55" s="29"/>
      <c r="D55" s="29"/>
      <c r="E55" s="29"/>
      <c r="F55" s="7"/>
      <c r="G55" s="7"/>
      <c r="H55" s="7"/>
      <c r="I55" s="7"/>
      <c r="J55" s="7"/>
      <c r="K55" s="7"/>
      <c r="L55" s="4"/>
      <c r="M55" s="8"/>
      <c r="N55" s="9"/>
      <c r="O55" s="4"/>
      <c r="P55" s="4"/>
      <c r="Q55" s="4"/>
      <c r="R55" s="7"/>
    </row>
    <row r="56" spans="1:18" s="10" customFormat="1" ht="15" x14ac:dyDescent="0.25">
      <c r="A56" s="7"/>
      <c r="B56" s="7"/>
      <c r="C56" s="29"/>
      <c r="D56" s="29"/>
      <c r="E56" s="29"/>
      <c r="F56" s="7"/>
      <c r="G56" s="7"/>
      <c r="H56" s="7"/>
      <c r="I56" s="7"/>
      <c r="J56" s="7"/>
      <c r="K56" s="7"/>
      <c r="L56" s="4"/>
      <c r="M56" s="8"/>
      <c r="N56" s="9"/>
      <c r="O56" s="4"/>
      <c r="P56" s="4"/>
      <c r="Q56" s="4"/>
      <c r="R56" s="7"/>
    </row>
    <row r="57" spans="1:18" s="10" customFormat="1" ht="15" x14ac:dyDescent="0.25">
      <c r="A57" s="7"/>
      <c r="B57" s="7"/>
      <c r="C57" s="29"/>
      <c r="D57" s="29"/>
      <c r="E57" s="29"/>
      <c r="F57" s="7"/>
      <c r="G57" s="7"/>
      <c r="H57" s="7"/>
      <c r="I57" s="7"/>
      <c r="J57" s="7"/>
      <c r="K57" s="7"/>
      <c r="L57" s="4"/>
      <c r="M57" s="8"/>
      <c r="N57" s="9"/>
      <c r="O57" s="4"/>
      <c r="P57" s="4"/>
      <c r="Q57" s="4"/>
      <c r="R57" s="7"/>
    </row>
    <row r="58" spans="1:18" s="10" customFormat="1" ht="15.75" customHeight="1" x14ac:dyDescent="0.2">
      <c r="A58" s="23"/>
      <c r="B58" s="23"/>
      <c r="C58" s="30"/>
      <c r="D58" s="30"/>
      <c r="E58" s="30"/>
      <c r="L58" s="25"/>
      <c r="M58" s="12"/>
      <c r="N58" s="12"/>
      <c r="O58" s="2"/>
      <c r="P58" s="2"/>
      <c r="Q58" s="2"/>
    </row>
    <row r="59" spans="1:18" s="10" customFormat="1" ht="15.75" customHeight="1" x14ac:dyDescent="0.2">
      <c r="A59" s="23"/>
      <c r="B59" s="23"/>
      <c r="C59" s="30"/>
      <c r="D59" s="30"/>
      <c r="E59" s="30"/>
      <c r="L59" s="25"/>
      <c r="M59" s="12"/>
      <c r="N59" s="12"/>
      <c r="O59" s="2"/>
      <c r="P59" s="2"/>
      <c r="Q59" s="2"/>
    </row>
    <row r="60" spans="1:18" s="10" customFormat="1" ht="15.75" customHeight="1" x14ac:dyDescent="0.2">
      <c r="A60" s="23"/>
      <c r="B60" s="23"/>
      <c r="C60" s="30"/>
      <c r="D60" s="30"/>
      <c r="E60" s="30"/>
      <c r="L60" s="25"/>
      <c r="M60" s="12"/>
      <c r="N60" s="12"/>
      <c r="O60" s="2"/>
      <c r="P60" s="2"/>
      <c r="Q60" s="2"/>
    </row>
    <row r="61" spans="1:18" s="10" customFormat="1" ht="15.75" customHeight="1" x14ac:dyDescent="0.2">
      <c r="A61" s="23"/>
      <c r="B61" s="23"/>
      <c r="C61" s="30"/>
      <c r="D61" s="30"/>
      <c r="E61" s="30"/>
      <c r="L61" s="25"/>
      <c r="M61" s="12"/>
      <c r="N61" s="12"/>
      <c r="O61" s="2"/>
      <c r="P61" s="2"/>
      <c r="Q61" s="2"/>
    </row>
    <row r="62" spans="1:18" s="10" customFormat="1" ht="15.75" customHeight="1" x14ac:dyDescent="0.2">
      <c r="A62" s="23"/>
      <c r="B62" s="23"/>
      <c r="C62" s="30"/>
      <c r="D62" s="30"/>
      <c r="E62" s="30"/>
      <c r="L62" s="25"/>
      <c r="M62" s="12"/>
      <c r="N62" s="12"/>
      <c r="O62" s="2"/>
      <c r="P62" s="2"/>
      <c r="Q62" s="2"/>
    </row>
    <row r="63" spans="1:18" s="10" customFormat="1" ht="15.75" customHeight="1" x14ac:dyDescent="0.2">
      <c r="A63" s="23"/>
      <c r="B63" s="23"/>
      <c r="C63" s="30"/>
      <c r="D63" s="30"/>
      <c r="E63" s="30"/>
      <c r="L63" s="25"/>
      <c r="M63" s="12"/>
      <c r="N63" s="12"/>
      <c r="O63" s="2"/>
      <c r="P63" s="2"/>
      <c r="Q63" s="2"/>
    </row>
    <row r="64" spans="1:18" s="10" customFormat="1" ht="15.75" customHeight="1" x14ac:dyDescent="0.2">
      <c r="A64" s="23"/>
      <c r="B64" s="23"/>
      <c r="C64" s="30"/>
      <c r="D64" s="30"/>
      <c r="E64" s="30"/>
      <c r="L64" s="25"/>
      <c r="M64" s="12"/>
      <c r="N64" s="12"/>
      <c r="O64" s="2"/>
      <c r="P64" s="2"/>
      <c r="Q64" s="2"/>
    </row>
    <row r="65" spans="1:17" s="10" customFormat="1" ht="15.75" customHeight="1" x14ac:dyDescent="0.2">
      <c r="A65" s="23"/>
      <c r="B65" s="23"/>
      <c r="C65" s="30"/>
      <c r="D65" s="30"/>
      <c r="E65" s="30"/>
      <c r="L65" s="25"/>
      <c r="M65" s="12"/>
      <c r="N65" s="12"/>
      <c r="O65" s="2"/>
      <c r="P65" s="2"/>
      <c r="Q65" s="2"/>
    </row>
    <row r="66" spans="1:17" s="10" customFormat="1" ht="15.75" customHeight="1" x14ac:dyDescent="0.2">
      <c r="A66" s="23"/>
      <c r="B66" s="23"/>
      <c r="C66" s="30"/>
      <c r="D66" s="30"/>
      <c r="E66" s="30"/>
      <c r="L66" s="25"/>
      <c r="M66" s="12"/>
      <c r="N66" s="12"/>
      <c r="O66" s="2"/>
      <c r="P66" s="2"/>
      <c r="Q66" s="2"/>
    </row>
    <row r="67" spans="1:17" s="10" customFormat="1" ht="15.75" customHeight="1" x14ac:dyDescent="0.2">
      <c r="A67" s="23"/>
      <c r="B67" s="23"/>
      <c r="C67" s="30"/>
      <c r="D67" s="30"/>
      <c r="E67" s="30"/>
      <c r="L67" s="25"/>
      <c r="M67" s="12"/>
      <c r="N67" s="12"/>
      <c r="O67" s="2"/>
      <c r="P67" s="2"/>
      <c r="Q67" s="2"/>
    </row>
    <row r="68" spans="1:17" s="10" customFormat="1" ht="15.75" customHeight="1" x14ac:dyDescent="0.2">
      <c r="A68" s="23"/>
      <c r="B68" s="23"/>
      <c r="C68" s="30"/>
      <c r="D68" s="30"/>
      <c r="E68" s="30"/>
      <c r="L68" s="25"/>
      <c r="M68" s="12"/>
      <c r="N68" s="12"/>
      <c r="O68" s="2"/>
      <c r="P68" s="2"/>
      <c r="Q68" s="2"/>
    </row>
    <row r="69" spans="1:17" s="10" customFormat="1" ht="15.75" customHeight="1" x14ac:dyDescent="0.2">
      <c r="A69" s="23"/>
      <c r="B69" s="23"/>
      <c r="C69" s="30"/>
      <c r="D69" s="30"/>
      <c r="E69" s="30"/>
      <c r="L69" s="25"/>
      <c r="M69" s="12"/>
      <c r="N69" s="12"/>
      <c r="O69" s="2"/>
      <c r="P69" s="2"/>
      <c r="Q69" s="2"/>
    </row>
    <row r="70" spans="1:17" s="10" customFormat="1" ht="15.75" customHeight="1" x14ac:dyDescent="0.2">
      <c r="A70" s="23"/>
      <c r="B70" s="23"/>
      <c r="C70" s="30"/>
      <c r="D70" s="30"/>
      <c r="E70" s="30"/>
      <c r="L70" s="25"/>
      <c r="M70" s="12"/>
      <c r="N70" s="12"/>
      <c r="O70" s="2"/>
      <c r="P70" s="2"/>
      <c r="Q70" s="2"/>
    </row>
    <row r="71" spans="1:17" s="10" customFormat="1" ht="15.75" customHeight="1" x14ac:dyDescent="0.2">
      <c r="A71" s="23"/>
      <c r="B71" s="23"/>
      <c r="C71" s="30"/>
      <c r="D71" s="30"/>
      <c r="E71" s="30"/>
      <c r="L71" s="25"/>
      <c r="M71" s="12"/>
      <c r="N71" s="12"/>
      <c r="O71" s="2"/>
      <c r="P71" s="2"/>
      <c r="Q71" s="2"/>
    </row>
    <row r="72" spans="1:17" s="10" customFormat="1" ht="15.75" customHeight="1" x14ac:dyDescent="0.2">
      <c r="A72" s="23"/>
      <c r="B72" s="23"/>
      <c r="C72" s="30"/>
      <c r="D72" s="30"/>
      <c r="E72" s="30"/>
      <c r="L72" s="25"/>
      <c r="M72" s="12"/>
      <c r="N72" s="12"/>
      <c r="O72" s="2"/>
      <c r="P72" s="2"/>
      <c r="Q72" s="2"/>
    </row>
    <row r="73" spans="1:17" s="10" customFormat="1" ht="15.75" customHeight="1" x14ac:dyDescent="0.2">
      <c r="A73" s="23"/>
      <c r="B73" s="23"/>
      <c r="C73" s="30"/>
      <c r="D73" s="30"/>
      <c r="E73" s="30"/>
      <c r="L73" s="25"/>
      <c r="M73" s="12"/>
      <c r="N73" s="12"/>
      <c r="O73" s="2"/>
      <c r="P73" s="2"/>
      <c r="Q73" s="2"/>
    </row>
    <row r="74" spans="1:17" s="10" customFormat="1" ht="15.75" customHeight="1" x14ac:dyDescent="0.2">
      <c r="A74" s="23"/>
      <c r="B74" s="23"/>
      <c r="C74" s="30"/>
      <c r="D74" s="30"/>
      <c r="E74" s="30"/>
      <c r="L74" s="25"/>
      <c r="M74" s="12"/>
      <c r="N74" s="12"/>
      <c r="O74" s="2"/>
      <c r="P74" s="2"/>
      <c r="Q74" s="2"/>
    </row>
    <row r="75" spans="1:17" s="10" customFormat="1" ht="15.75" customHeight="1" x14ac:dyDescent="0.2">
      <c r="A75" s="23"/>
      <c r="B75" s="23"/>
      <c r="C75" s="30"/>
      <c r="D75" s="30"/>
      <c r="E75" s="30"/>
      <c r="L75" s="25"/>
      <c r="M75" s="12"/>
      <c r="N75" s="12"/>
      <c r="O75" s="2"/>
      <c r="P75" s="2"/>
      <c r="Q75" s="2"/>
    </row>
    <row r="76" spans="1:17" s="10" customFormat="1" ht="15.75" customHeight="1" x14ac:dyDescent="0.2">
      <c r="A76" s="23"/>
      <c r="B76" s="23"/>
      <c r="C76" s="30"/>
      <c r="D76" s="30"/>
      <c r="E76" s="30"/>
      <c r="L76" s="25"/>
      <c r="M76" s="12"/>
      <c r="N76" s="12"/>
      <c r="O76" s="2"/>
      <c r="P76" s="2"/>
      <c r="Q76" s="2"/>
    </row>
    <row r="77" spans="1:17" s="10" customFormat="1" ht="15.75" customHeight="1" x14ac:dyDescent="0.2">
      <c r="A77" s="23"/>
      <c r="B77" s="23"/>
      <c r="C77" s="30"/>
      <c r="D77" s="30"/>
      <c r="E77" s="30"/>
      <c r="L77" s="25"/>
      <c r="M77" s="12"/>
      <c r="N77" s="12"/>
      <c r="O77" s="2"/>
      <c r="P77" s="2"/>
      <c r="Q77" s="2"/>
    </row>
    <row r="78" spans="1:17" s="10" customFormat="1" ht="15.75" customHeight="1" x14ac:dyDescent="0.2">
      <c r="A78" s="23"/>
      <c r="B78" s="23"/>
      <c r="C78" s="30"/>
      <c r="D78" s="30"/>
      <c r="E78" s="30"/>
      <c r="L78" s="25"/>
      <c r="M78" s="12"/>
      <c r="N78" s="12"/>
      <c r="O78" s="2"/>
      <c r="P78" s="2"/>
      <c r="Q78" s="2"/>
    </row>
    <row r="79" spans="1:17" s="10" customFormat="1" ht="15.75" customHeight="1" x14ac:dyDescent="0.2">
      <c r="A79" s="23"/>
      <c r="B79" s="23"/>
      <c r="C79" s="30"/>
      <c r="D79" s="30"/>
      <c r="E79" s="30"/>
      <c r="L79" s="25"/>
      <c r="M79" s="12"/>
      <c r="N79" s="12"/>
      <c r="O79" s="2"/>
      <c r="P79" s="2"/>
      <c r="Q79" s="2"/>
    </row>
    <row r="80" spans="1:17" s="10" customFormat="1" ht="15.75" customHeight="1" x14ac:dyDescent="0.2">
      <c r="A80" s="23"/>
      <c r="B80" s="23"/>
      <c r="C80" s="30"/>
      <c r="D80" s="30"/>
      <c r="E80" s="30"/>
      <c r="L80" s="25"/>
      <c r="M80" s="12"/>
      <c r="N80" s="12"/>
      <c r="O80" s="2"/>
      <c r="P80" s="2"/>
      <c r="Q80" s="2"/>
    </row>
    <row r="81" spans="1:17" s="10" customFormat="1" ht="15.75" customHeight="1" x14ac:dyDescent="0.2">
      <c r="A81" s="23"/>
      <c r="B81" s="23"/>
      <c r="C81" s="30"/>
      <c r="D81" s="30"/>
      <c r="E81" s="30"/>
      <c r="L81" s="25"/>
      <c r="M81" s="12"/>
      <c r="N81" s="12"/>
      <c r="O81" s="2"/>
      <c r="P81" s="2"/>
      <c r="Q81" s="2"/>
    </row>
    <row r="82" spans="1:17" s="10" customFormat="1" ht="15.75" customHeight="1" x14ac:dyDescent="0.2">
      <c r="A82" s="23"/>
      <c r="B82" s="23"/>
      <c r="C82" s="30"/>
      <c r="D82" s="30"/>
      <c r="E82" s="30"/>
      <c r="L82" s="25"/>
      <c r="M82" s="12"/>
      <c r="N82" s="12"/>
      <c r="O82" s="2"/>
      <c r="P82" s="2"/>
      <c r="Q82" s="2"/>
    </row>
    <row r="83" spans="1:17" s="10" customFormat="1" ht="15.75" customHeight="1" x14ac:dyDescent="0.2">
      <c r="A83" s="23"/>
      <c r="B83" s="23"/>
      <c r="C83" s="30"/>
      <c r="D83" s="30"/>
      <c r="E83" s="30"/>
      <c r="L83" s="25"/>
      <c r="M83" s="12"/>
      <c r="N83" s="12"/>
      <c r="O83" s="2"/>
      <c r="P83" s="2"/>
      <c r="Q83" s="2"/>
    </row>
    <row r="84" spans="1:17" s="10" customFormat="1" ht="15.75" customHeight="1" x14ac:dyDescent="0.2">
      <c r="A84" s="23"/>
      <c r="B84" s="23"/>
      <c r="C84" s="30"/>
      <c r="D84" s="30"/>
      <c r="E84" s="30"/>
      <c r="L84" s="25"/>
      <c r="M84" s="12"/>
      <c r="N84" s="12"/>
      <c r="O84" s="2"/>
      <c r="P84" s="2"/>
      <c r="Q84" s="2"/>
    </row>
    <row r="85" spans="1:17" s="10" customFormat="1" ht="15.75" customHeight="1" x14ac:dyDescent="0.2">
      <c r="A85" s="23"/>
      <c r="B85" s="23"/>
      <c r="C85" s="30"/>
      <c r="D85" s="30"/>
      <c r="E85" s="30"/>
      <c r="L85" s="25"/>
      <c r="M85" s="12"/>
      <c r="N85" s="12"/>
      <c r="O85" s="2"/>
      <c r="P85" s="2"/>
      <c r="Q85" s="2"/>
    </row>
    <row r="86" spans="1:17" s="10" customFormat="1" ht="15.75" customHeight="1" x14ac:dyDescent="0.2">
      <c r="A86" s="23"/>
      <c r="B86" s="23"/>
      <c r="C86" s="30"/>
      <c r="D86" s="30"/>
      <c r="E86" s="30"/>
      <c r="L86" s="25"/>
      <c r="M86" s="12"/>
      <c r="N86" s="12"/>
      <c r="O86" s="2"/>
      <c r="P86" s="2"/>
      <c r="Q86" s="2"/>
    </row>
    <row r="87" spans="1:17" s="10" customFormat="1" ht="15.75" customHeight="1" x14ac:dyDescent="0.2">
      <c r="A87" s="23"/>
      <c r="B87" s="23"/>
      <c r="C87" s="30"/>
      <c r="D87" s="30"/>
      <c r="E87" s="30"/>
      <c r="L87" s="25"/>
      <c r="M87" s="12"/>
      <c r="N87" s="12"/>
      <c r="O87" s="2"/>
      <c r="P87" s="2"/>
      <c r="Q87" s="2"/>
    </row>
    <row r="88" spans="1:17" s="10" customFormat="1" ht="15.75" customHeight="1" x14ac:dyDescent="0.2">
      <c r="A88" s="23"/>
      <c r="B88" s="23"/>
      <c r="C88" s="30"/>
      <c r="D88" s="30"/>
      <c r="E88" s="30"/>
      <c r="L88" s="25"/>
      <c r="M88" s="12"/>
      <c r="N88" s="12"/>
      <c r="O88" s="2"/>
      <c r="P88" s="2"/>
      <c r="Q88" s="2"/>
    </row>
    <row r="89" spans="1:17" s="10" customFormat="1" ht="15.75" customHeight="1" x14ac:dyDescent="0.2">
      <c r="A89" s="23"/>
      <c r="B89" s="23"/>
      <c r="C89" s="30"/>
      <c r="D89" s="30"/>
      <c r="E89" s="30"/>
      <c r="L89" s="25"/>
      <c r="M89" s="12"/>
      <c r="N89" s="12"/>
      <c r="O89" s="2"/>
      <c r="P89" s="2"/>
      <c r="Q89" s="2"/>
    </row>
    <row r="90" spans="1:17" s="10" customFormat="1" ht="15.75" customHeight="1" x14ac:dyDescent="0.2">
      <c r="A90" s="23"/>
      <c r="B90" s="23"/>
      <c r="C90" s="30"/>
      <c r="D90" s="30"/>
      <c r="E90" s="30"/>
      <c r="L90" s="25"/>
      <c r="M90" s="12"/>
      <c r="N90" s="12"/>
      <c r="O90" s="2"/>
      <c r="P90" s="2"/>
      <c r="Q90" s="2"/>
    </row>
    <row r="91" spans="1:17" s="10" customFormat="1" ht="15.75" customHeight="1" x14ac:dyDescent="0.2">
      <c r="A91" s="23"/>
      <c r="B91" s="23"/>
      <c r="C91" s="30"/>
      <c r="D91" s="30"/>
      <c r="E91" s="30"/>
      <c r="L91" s="25"/>
      <c r="M91" s="12"/>
      <c r="N91" s="12"/>
      <c r="O91" s="2"/>
      <c r="P91" s="2"/>
      <c r="Q91" s="2"/>
    </row>
    <row r="92" spans="1:17" s="10" customFormat="1" ht="15.75" customHeight="1" x14ac:dyDescent="0.2">
      <c r="A92" s="23"/>
      <c r="B92" s="23"/>
      <c r="C92" s="30"/>
      <c r="D92" s="30"/>
      <c r="E92" s="30"/>
      <c r="L92" s="25"/>
      <c r="M92" s="12"/>
      <c r="N92" s="12"/>
      <c r="O92" s="2"/>
      <c r="P92" s="2"/>
      <c r="Q92" s="2"/>
    </row>
    <row r="93" spans="1:17" s="10" customFormat="1" ht="15.75" customHeight="1" x14ac:dyDescent="0.2">
      <c r="A93" s="23"/>
      <c r="B93" s="23"/>
      <c r="C93" s="30"/>
      <c r="D93" s="30"/>
      <c r="E93" s="30"/>
      <c r="L93" s="25"/>
      <c r="M93" s="12"/>
      <c r="N93" s="12"/>
      <c r="O93" s="2"/>
      <c r="P93" s="2"/>
      <c r="Q93" s="2"/>
    </row>
    <row r="94" spans="1:17" s="10" customFormat="1" ht="15.75" customHeight="1" x14ac:dyDescent="0.2">
      <c r="A94" s="23"/>
      <c r="B94" s="23"/>
      <c r="C94" s="30"/>
      <c r="D94" s="30"/>
      <c r="E94" s="30"/>
      <c r="L94" s="25"/>
      <c r="M94" s="12"/>
      <c r="N94" s="12"/>
      <c r="O94" s="2"/>
      <c r="P94" s="2"/>
      <c r="Q94" s="2"/>
    </row>
    <row r="95" spans="1:17" s="10" customFormat="1" ht="15.75" customHeight="1" x14ac:dyDescent="0.2">
      <c r="A95" s="23"/>
      <c r="B95" s="23"/>
      <c r="C95" s="30"/>
      <c r="D95" s="30"/>
      <c r="E95" s="30"/>
      <c r="L95" s="25"/>
      <c r="M95" s="12"/>
      <c r="N95" s="12"/>
      <c r="O95" s="2"/>
      <c r="P95" s="2"/>
      <c r="Q95" s="2"/>
    </row>
    <row r="96" spans="1:17" s="10" customFormat="1" ht="15.75" customHeight="1" x14ac:dyDescent="0.2">
      <c r="A96" s="23"/>
      <c r="B96" s="23"/>
      <c r="C96" s="30"/>
      <c r="D96" s="30"/>
      <c r="E96" s="30"/>
      <c r="L96" s="25"/>
      <c r="M96" s="12"/>
      <c r="N96" s="12"/>
      <c r="O96" s="2"/>
      <c r="P96" s="2"/>
      <c r="Q96" s="2"/>
    </row>
    <row r="97" spans="1:17" s="10" customFormat="1" ht="15.75" customHeight="1" x14ac:dyDescent="0.2">
      <c r="A97" s="23"/>
      <c r="B97" s="23"/>
      <c r="C97" s="30"/>
      <c r="D97" s="30"/>
      <c r="E97" s="30"/>
      <c r="L97" s="25"/>
      <c r="M97" s="12"/>
      <c r="N97" s="12"/>
      <c r="O97" s="2"/>
      <c r="P97" s="2"/>
      <c r="Q97" s="2"/>
    </row>
    <row r="98" spans="1:17" s="10" customFormat="1" ht="15.75" customHeight="1" x14ac:dyDescent="0.2">
      <c r="A98" s="23"/>
      <c r="B98" s="23"/>
      <c r="C98" s="30"/>
      <c r="D98" s="30"/>
      <c r="E98" s="30"/>
      <c r="L98" s="25"/>
      <c r="M98" s="12"/>
      <c r="N98" s="12"/>
      <c r="O98" s="2"/>
      <c r="P98" s="2"/>
      <c r="Q98" s="2"/>
    </row>
    <row r="99" spans="1:17" s="10" customFormat="1" ht="15.75" customHeight="1" x14ac:dyDescent="0.2">
      <c r="A99" s="23"/>
      <c r="B99" s="23"/>
      <c r="C99" s="30"/>
      <c r="D99" s="30"/>
      <c r="E99" s="30"/>
      <c r="L99" s="25"/>
      <c r="M99" s="12"/>
      <c r="N99" s="12"/>
      <c r="O99" s="2"/>
      <c r="P99" s="2"/>
      <c r="Q99" s="2"/>
    </row>
    <row r="100" spans="1:17" s="10" customFormat="1" ht="15.75" customHeight="1" x14ac:dyDescent="0.2">
      <c r="A100" s="23"/>
      <c r="B100" s="23"/>
      <c r="C100" s="30"/>
      <c r="D100" s="30"/>
      <c r="E100" s="30"/>
      <c r="L100" s="25"/>
      <c r="M100" s="12"/>
      <c r="N100" s="12"/>
      <c r="O100" s="2"/>
      <c r="P100" s="2"/>
      <c r="Q100" s="2"/>
    </row>
    <row r="101" spans="1:17" s="10" customFormat="1" ht="15.75" customHeight="1" x14ac:dyDescent="0.2">
      <c r="A101" s="23"/>
      <c r="B101" s="23"/>
      <c r="C101" s="30"/>
      <c r="D101" s="30"/>
      <c r="E101" s="30"/>
      <c r="L101" s="25"/>
      <c r="M101" s="12"/>
      <c r="N101" s="12"/>
      <c r="O101" s="2"/>
      <c r="P101" s="2"/>
      <c r="Q101" s="2"/>
    </row>
    <row r="102" spans="1:17" s="10" customFormat="1" ht="15.75" customHeight="1" x14ac:dyDescent="0.2">
      <c r="A102" s="23"/>
      <c r="B102" s="23"/>
      <c r="C102" s="30"/>
      <c r="D102" s="30"/>
      <c r="E102" s="30"/>
      <c r="L102" s="25"/>
      <c r="M102" s="12"/>
      <c r="N102" s="12"/>
      <c r="O102" s="2"/>
      <c r="P102" s="2"/>
      <c r="Q102" s="2"/>
    </row>
    <row r="103" spans="1:17" s="10" customFormat="1" ht="15.75" customHeight="1" x14ac:dyDescent="0.2">
      <c r="A103" s="23"/>
      <c r="B103" s="23"/>
      <c r="C103" s="30"/>
      <c r="D103" s="30"/>
      <c r="E103" s="30"/>
      <c r="L103" s="25"/>
      <c r="M103" s="12"/>
      <c r="N103" s="12"/>
      <c r="O103" s="2"/>
      <c r="P103" s="2"/>
      <c r="Q103" s="2"/>
    </row>
    <row r="104" spans="1:17" s="10" customFormat="1" ht="15.75" customHeight="1" x14ac:dyDescent="0.2">
      <c r="A104" s="23"/>
      <c r="B104" s="23"/>
      <c r="C104" s="30"/>
      <c r="D104" s="30"/>
      <c r="E104" s="30"/>
      <c r="L104" s="25"/>
      <c r="M104" s="12"/>
      <c r="N104" s="12"/>
      <c r="O104" s="2"/>
      <c r="P104" s="2"/>
      <c r="Q104" s="2"/>
    </row>
    <row r="105" spans="1:17" s="10" customFormat="1" ht="15.75" customHeight="1" x14ac:dyDescent="0.2">
      <c r="A105" s="23"/>
      <c r="B105" s="23"/>
      <c r="C105" s="30"/>
      <c r="D105" s="30"/>
      <c r="E105" s="30"/>
      <c r="L105" s="25"/>
      <c r="M105" s="12"/>
      <c r="N105" s="12"/>
      <c r="O105" s="2"/>
      <c r="P105" s="2"/>
      <c r="Q105" s="2"/>
    </row>
    <row r="106" spans="1:17" s="10" customFormat="1" ht="15.75" customHeight="1" x14ac:dyDescent="0.2">
      <c r="A106" s="23"/>
      <c r="B106" s="23"/>
      <c r="C106" s="30"/>
      <c r="D106" s="30"/>
      <c r="E106" s="30"/>
      <c r="L106" s="25"/>
      <c r="M106" s="12"/>
      <c r="N106" s="12"/>
      <c r="O106" s="2"/>
      <c r="P106" s="2"/>
      <c r="Q106" s="2"/>
    </row>
    <row r="107" spans="1:17" s="10" customFormat="1" ht="15.75" customHeight="1" x14ac:dyDescent="0.2">
      <c r="A107" s="23"/>
      <c r="B107" s="23"/>
      <c r="C107" s="30"/>
      <c r="D107" s="30"/>
      <c r="E107" s="30"/>
      <c r="L107" s="25"/>
      <c r="M107" s="12"/>
      <c r="N107" s="12"/>
      <c r="O107" s="2"/>
      <c r="P107" s="2"/>
      <c r="Q107" s="2"/>
    </row>
    <row r="108" spans="1:17" s="10" customFormat="1" ht="15.75" customHeight="1" x14ac:dyDescent="0.2">
      <c r="A108" s="23"/>
      <c r="B108" s="23"/>
      <c r="C108" s="30"/>
      <c r="D108" s="30"/>
      <c r="E108" s="30"/>
      <c r="L108" s="25"/>
      <c r="M108" s="12"/>
      <c r="N108" s="12"/>
      <c r="O108" s="2"/>
      <c r="P108" s="2"/>
      <c r="Q108" s="2"/>
    </row>
    <row r="109" spans="1:17" s="10" customFormat="1" ht="15.75" customHeight="1" x14ac:dyDescent="0.2">
      <c r="A109" s="23"/>
      <c r="B109" s="23"/>
      <c r="C109" s="30"/>
      <c r="D109" s="30"/>
      <c r="E109" s="30"/>
      <c r="L109" s="25"/>
      <c r="M109" s="12"/>
      <c r="N109" s="12"/>
      <c r="O109" s="2"/>
      <c r="P109" s="2"/>
      <c r="Q109" s="2"/>
    </row>
    <row r="110" spans="1:17" s="10" customFormat="1" ht="15.75" customHeight="1" x14ac:dyDescent="0.2">
      <c r="A110" s="23"/>
      <c r="B110" s="23"/>
      <c r="C110" s="30"/>
      <c r="D110" s="30"/>
      <c r="E110" s="30"/>
      <c r="L110" s="25"/>
      <c r="M110" s="12"/>
      <c r="N110" s="12"/>
      <c r="O110" s="2"/>
      <c r="P110" s="2"/>
      <c r="Q110" s="2"/>
    </row>
    <row r="111" spans="1:17" s="10" customFormat="1" ht="15.75" customHeight="1" x14ac:dyDescent="0.2">
      <c r="A111" s="23"/>
      <c r="B111" s="23"/>
      <c r="C111" s="30"/>
      <c r="D111" s="30"/>
      <c r="E111" s="30"/>
      <c r="L111" s="25"/>
      <c r="M111" s="12"/>
      <c r="N111" s="12"/>
      <c r="O111" s="2"/>
      <c r="P111" s="2"/>
      <c r="Q111" s="2"/>
    </row>
    <row r="112" spans="1:17" s="10" customFormat="1" ht="15.75" customHeight="1" x14ac:dyDescent="0.2">
      <c r="A112" s="23"/>
      <c r="B112" s="23"/>
      <c r="C112" s="30"/>
      <c r="D112" s="30"/>
      <c r="E112" s="30"/>
      <c r="L112" s="25"/>
      <c r="M112" s="12"/>
      <c r="N112" s="12"/>
      <c r="O112" s="2"/>
      <c r="P112" s="2"/>
      <c r="Q112" s="2"/>
    </row>
    <row r="113" spans="1:17" s="10" customFormat="1" ht="15.75" customHeight="1" x14ac:dyDescent="0.2">
      <c r="A113" s="23"/>
      <c r="B113" s="23"/>
      <c r="C113" s="30"/>
      <c r="D113" s="30"/>
      <c r="E113" s="30"/>
      <c r="L113" s="25"/>
      <c r="M113" s="12"/>
      <c r="N113" s="12"/>
      <c r="O113" s="2"/>
      <c r="P113" s="2"/>
      <c r="Q113" s="2"/>
    </row>
    <row r="114" spans="1:17" s="10" customFormat="1" ht="15.75" customHeight="1" x14ac:dyDescent="0.2">
      <c r="A114" s="23"/>
      <c r="B114" s="23"/>
      <c r="C114" s="30"/>
      <c r="D114" s="30"/>
      <c r="E114" s="30"/>
      <c r="L114" s="25"/>
      <c r="M114" s="12"/>
      <c r="N114" s="12"/>
      <c r="O114" s="2"/>
      <c r="P114" s="2"/>
      <c r="Q114" s="2"/>
    </row>
    <row r="115" spans="1:17" s="10" customFormat="1" ht="15.75" customHeight="1" x14ac:dyDescent="0.2">
      <c r="A115" s="23"/>
      <c r="B115" s="23"/>
      <c r="C115" s="30"/>
      <c r="D115" s="30"/>
      <c r="E115" s="30"/>
      <c r="L115" s="25"/>
      <c r="M115" s="12"/>
      <c r="N115" s="12"/>
      <c r="O115" s="2"/>
      <c r="P115" s="2"/>
      <c r="Q115" s="2"/>
    </row>
    <row r="116" spans="1:17" s="10" customFormat="1" ht="15.75" customHeight="1" x14ac:dyDescent="0.2">
      <c r="A116" s="23"/>
      <c r="B116" s="23"/>
      <c r="C116" s="30"/>
      <c r="D116" s="30"/>
      <c r="E116" s="30"/>
      <c r="L116" s="25"/>
      <c r="M116" s="12"/>
      <c r="N116" s="12"/>
      <c r="O116" s="2"/>
      <c r="P116" s="2"/>
      <c r="Q116" s="2"/>
    </row>
    <row r="117" spans="1:17" s="10" customFormat="1" ht="15.75" customHeight="1" x14ac:dyDescent="0.2">
      <c r="A117" s="23"/>
      <c r="B117" s="23"/>
      <c r="C117" s="30"/>
      <c r="D117" s="30"/>
      <c r="E117" s="30"/>
      <c r="L117" s="25"/>
      <c r="M117" s="12"/>
      <c r="N117" s="12"/>
      <c r="O117" s="2"/>
      <c r="P117" s="2"/>
      <c r="Q117" s="2"/>
    </row>
    <row r="118" spans="1:17" s="10" customFormat="1" ht="15.75" customHeight="1" x14ac:dyDescent="0.2">
      <c r="A118" s="23"/>
      <c r="B118" s="23"/>
      <c r="C118" s="30"/>
      <c r="D118" s="30"/>
      <c r="E118" s="30"/>
      <c r="L118" s="25"/>
      <c r="M118" s="12"/>
      <c r="N118" s="12"/>
      <c r="O118" s="2"/>
      <c r="P118" s="2"/>
      <c r="Q118" s="2"/>
    </row>
    <row r="119" spans="1:17" s="10" customFormat="1" ht="15.75" customHeight="1" x14ac:dyDescent="0.2">
      <c r="A119" s="23"/>
      <c r="B119" s="23"/>
      <c r="C119" s="30"/>
      <c r="D119" s="30"/>
      <c r="E119" s="30"/>
      <c r="L119" s="25"/>
      <c r="M119" s="12"/>
      <c r="N119" s="12"/>
      <c r="O119" s="2"/>
      <c r="P119" s="2"/>
      <c r="Q119" s="2"/>
    </row>
    <row r="120" spans="1:17" s="10" customFormat="1" ht="15.75" customHeight="1" x14ac:dyDescent="0.2">
      <c r="A120" s="23"/>
      <c r="B120" s="23"/>
      <c r="C120" s="30"/>
      <c r="D120" s="30"/>
      <c r="E120" s="30"/>
      <c r="L120" s="25"/>
      <c r="M120" s="12"/>
      <c r="N120" s="12"/>
      <c r="O120" s="2"/>
      <c r="P120" s="2"/>
      <c r="Q120" s="2"/>
    </row>
    <row r="121" spans="1:17" s="10" customFormat="1" ht="15.75" customHeight="1" x14ac:dyDescent="0.2">
      <c r="A121" s="23"/>
      <c r="B121" s="23"/>
      <c r="C121" s="30"/>
      <c r="D121" s="30"/>
      <c r="E121" s="30"/>
      <c r="L121" s="25"/>
      <c r="M121" s="12"/>
      <c r="N121" s="12"/>
      <c r="O121" s="2"/>
      <c r="P121" s="2"/>
      <c r="Q121" s="2"/>
    </row>
    <row r="122" spans="1:17" s="10" customFormat="1" ht="15.75" customHeight="1" x14ac:dyDescent="0.2">
      <c r="A122" s="23"/>
      <c r="B122" s="23"/>
      <c r="C122" s="30"/>
      <c r="D122" s="30"/>
      <c r="E122" s="30"/>
      <c r="L122" s="25"/>
      <c r="M122" s="12"/>
      <c r="N122" s="12"/>
      <c r="O122" s="2"/>
      <c r="P122" s="2"/>
      <c r="Q122" s="2"/>
    </row>
    <row r="123" spans="1:17" s="10" customFormat="1" ht="15.75" customHeight="1" x14ac:dyDescent="0.2">
      <c r="A123" s="23"/>
      <c r="B123" s="23"/>
      <c r="C123" s="30"/>
      <c r="D123" s="30"/>
      <c r="E123" s="30"/>
      <c r="L123" s="25"/>
      <c r="M123" s="12"/>
      <c r="N123" s="12"/>
      <c r="O123" s="2"/>
      <c r="P123" s="2"/>
      <c r="Q123" s="2"/>
    </row>
    <row r="124" spans="1:17" s="10" customFormat="1" ht="15.75" customHeight="1" x14ac:dyDescent="0.2">
      <c r="A124" s="23"/>
      <c r="B124" s="23"/>
      <c r="C124" s="30"/>
      <c r="D124" s="30"/>
      <c r="E124" s="30"/>
      <c r="L124" s="25"/>
      <c r="M124" s="12"/>
      <c r="N124" s="12"/>
      <c r="O124" s="2"/>
      <c r="P124" s="2"/>
      <c r="Q124" s="2"/>
    </row>
    <row r="125" spans="1:17" s="10" customFormat="1" ht="15.75" customHeight="1" x14ac:dyDescent="0.2">
      <c r="A125" s="23"/>
      <c r="B125" s="23"/>
      <c r="C125" s="30"/>
      <c r="D125" s="30"/>
      <c r="E125" s="30"/>
      <c r="L125" s="25"/>
      <c r="M125" s="12"/>
      <c r="N125" s="12"/>
      <c r="O125" s="2"/>
      <c r="P125" s="2"/>
      <c r="Q125" s="2"/>
    </row>
    <row r="126" spans="1:17" s="10" customFormat="1" ht="15.75" customHeight="1" x14ac:dyDescent="0.2">
      <c r="A126" s="23"/>
      <c r="B126" s="23"/>
      <c r="C126" s="30"/>
      <c r="D126" s="30"/>
      <c r="E126" s="30"/>
      <c r="L126" s="25"/>
      <c r="M126" s="12"/>
      <c r="N126" s="12"/>
      <c r="O126" s="2"/>
      <c r="P126" s="2"/>
      <c r="Q126" s="2"/>
    </row>
    <row r="127" spans="1:17" s="10" customFormat="1" ht="15.75" customHeight="1" x14ac:dyDescent="0.2">
      <c r="A127" s="23"/>
      <c r="B127" s="23"/>
      <c r="C127" s="30"/>
      <c r="D127" s="30"/>
      <c r="E127" s="30"/>
      <c r="L127" s="25"/>
      <c r="M127" s="12"/>
      <c r="N127" s="12"/>
      <c r="O127" s="2"/>
      <c r="P127" s="2"/>
      <c r="Q127" s="2"/>
    </row>
    <row r="128" spans="1:17" s="10" customFormat="1" ht="15.75" customHeight="1" x14ac:dyDescent="0.2">
      <c r="A128" s="23"/>
      <c r="B128" s="23"/>
      <c r="C128" s="30"/>
      <c r="D128" s="30"/>
      <c r="E128" s="30"/>
      <c r="L128" s="25"/>
      <c r="M128" s="12"/>
      <c r="N128" s="12"/>
      <c r="O128" s="2"/>
      <c r="P128" s="2"/>
      <c r="Q128" s="2"/>
    </row>
    <row r="129" spans="1:17" s="10" customFormat="1" ht="15.75" customHeight="1" x14ac:dyDescent="0.2">
      <c r="A129" s="23"/>
      <c r="B129" s="23"/>
      <c r="C129" s="30"/>
      <c r="D129" s="30"/>
      <c r="E129" s="30"/>
      <c r="L129" s="25"/>
      <c r="M129" s="12"/>
      <c r="N129" s="12"/>
      <c r="O129" s="2"/>
      <c r="P129" s="2"/>
      <c r="Q129" s="2"/>
    </row>
    <row r="130" spans="1:17" s="10" customFormat="1" ht="15.75" customHeight="1" x14ac:dyDescent="0.2">
      <c r="A130" s="23"/>
      <c r="B130" s="23"/>
      <c r="C130" s="30"/>
      <c r="D130" s="30"/>
      <c r="E130" s="30"/>
      <c r="L130" s="25"/>
      <c r="M130" s="12"/>
      <c r="N130" s="12"/>
      <c r="O130" s="2"/>
      <c r="P130" s="2"/>
      <c r="Q130" s="2"/>
    </row>
    <row r="131" spans="1:17" s="10" customFormat="1" ht="15.75" customHeight="1" x14ac:dyDescent="0.2">
      <c r="A131" s="23"/>
      <c r="B131" s="23"/>
      <c r="C131" s="30"/>
      <c r="D131" s="30"/>
      <c r="E131" s="30"/>
      <c r="L131" s="25"/>
      <c r="M131" s="12"/>
      <c r="N131" s="12"/>
      <c r="O131" s="2"/>
      <c r="P131" s="2"/>
      <c r="Q131" s="2"/>
    </row>
    <row r="132" spans="1:17" s="10" customFormat="1" ht="15.75" customHeight="1" x14ac:dyDescent="0.2">
      <c r="A132" s="23"/>
      <c r="B132" s="23"/>
      <c r="C132" s="30"/>
      <c r="D132" s="30"/>
      <c r="E132" s="30"/>
      <c r="L132" s="25"/>
      <c r="M132" s="12"/>
      <c r="N132" s="12"/>
      <c r="O132" s="2"/>
      <c r="P132" s="2"/>
      <c r="Q132" s="2"/>
    </row>
    <row r="133" spans="1:17" s="10" customFormat="1" ht="15.75" customHeight="1" x14ac:dyDescent="0.2">
      <c r="A133" s="23"/>
      <c r="B133" s="23"/>
      <c r="C133" s="30"/>
      <c r="D133" s="30"/>
      <c r="E133" s="30"/>
      <c r="L133" s="25"/>
      <c r="M133" s="12"/>
      <c r="N133" s="12"/>
      <c r="O133" s="2"/>
      <c r="P133" s="2"/>
      <c r="Q133" s="2"/>
    </row>
    <row r="134" spans="1:17" s="10" customFormat="1" ht="15.75" customHeight="1" x14ac:dyDescent="0.2">
      <c r="A134" s="23"/>
      <c r="B134" s="23"/>
      <c r="C134" s="30"/>
      <c r="D134" s="30"/>
      <c r="E134" s="30"/>
      <c r="L134" s="25"/>
      <c r="M134" s="12"/>
      <c r="N134" s="12"/>
      <c r="O134" s="2"/>
      <c r="P134" s="2"/>
      <c r="Q134" s="2"/>
    </row>
    <row r="135" spans="1:17" s="10" customFormat="1" ht="15.75" customHeight="1" x14ac:dyDescent="0.2">
      <c r="A135" s="23"/>
      <c r="B135" s="23"/>
      <c r="C135" s="30"/>
      <c r="D135" s="30"/>
      <c r="E135" s="30"/>
      <c r="L135" s="25"/>
      <c r="M135" s="12"/>
      <c r="N135" s="12"/>
      <c r="O135" s="2"/>
      <c r="P135" s="2"/>
      <c r="Q135" s="2"/>
    </row>
  </sheetData>
  <autoFilter ref="A1:R44"/>
  <mergeCells count="3">
    <mergeCell ref="E2:E10"/>
    <mergeCell ref="E11:E28"/>
    <mergeCell ref="E29:E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90" zoomScaleNormal="90" zoomScalePageLayoutView="90" workbookViewId="0">
      <pane ySplit="1" topLeftCell="A2" activePane="bottomLeft" state="frozen"/>
      <selection pane="bottomLeft" activeCell="L12" sqref="L12"/>
    </sheetView>
  </sheetViews>
  <sheetFormatPr defaultColWidth="10.7109375" defaultRowHeight="15.75" x14ac:dyDescent="0.25"/>
  <cols>
    <col min="1" max="1" width="19" style="153" customWidth="1"/>
    <col min="2" max="2" width="10.7109375" style="153"/>
    <col min="3" max="3" width="18" style="154" customWidth="1"/>
    <col min="4" max="4" width="15.42578125" style="153" customWidth="1"/>
    <col min="5" max="6" width="13.7109375" style="153" customWidth="1"/>
    <col min="7" max="7" width="14" style="153" customWidth="1"/>
    <col min="8" max="8" width="14.140625" style="153" customWidth="1"/>
    <col min="9" max="9" width="15" style="153" customWidth="1"/>
    <col min="10" max="10" width="14.7109375" style="153" customWidth="1"/>
    <col min="11" max="11" width="14.140625" style="153" customWidth="1"/>
    <col min="12" max="12" width="10.7109375" style="153"/>
    <col min="13" max="13" width="15" style="153" customWidth="1"/>
    <col min="14" max="14" width="18.7109375" style="153" customWidth="1"/>
    <col min="15" max="16384" width="10.7109375" style="153"/>
  </cols>
  <sheetData>
    <row r="1" spans="1:15" ht="63" x14ac:dyDescent="0.25">
      <c r="A1" s="160" t="s">
        <v>0</v>
      </c>
      <c r="B1" s="161" t="s">
        <v>3</v>
      </c>
      <c r="C1" s="160" t="s">
        <v>143</v>
      </c>
      <c r="D1" s="160" t="s">
        <v>5</v>
      </c>
      <c r="E1" s="160" t="s">
        <v>134</v>
      </c>
      <c r="F1" s="160" t="s">
        <v>154</v>
      </c>
      <c r="G1" s="160" t="s">
        <v>155</v>
      </c>
      <c r="H1" s="160" t="s">
        <v>144</v>
      </c>
      <c r="I1" s="160" t="s">
        <v>152</v>
      </c>
      <c r="J1" s="160" t="s">
        <v>145</v>
      </c>
      <c r="K1" s="160" t="s">
        <v>153</v>
      </c>
      <c r="L1" s="160" t="s">
        <v>102</v>
      </c>
      <c r="M1" s="160" t="s">
        <v>157</v>
      </c>
      <c r="N1" s="160" t="s">
        <v>8</v>
      </c>
      <c r="O1" s="153" t="s">
        <v>132</v>
      </c>
    </row>
    <row r="2" spans="1:15" x14ac:dyDescent="0.25">
      <c r="A2" s="192" t="s">
        <v>9</v>
      </c>
      <c r="B2" s="266" t="s">
        <v>92</v>
      </c>
      <c r="C2" s="231" t="s">
        <v>121</v>
      </c>
      <c r="D2" s="193">
        <v>1210</v>
      </c>
      <c r="E2" s="226">
        <f>SUM(D2:D7)</f>
        <v>12336</v>
      </c>
      <c r="F2" s="232">
        <v>24</v>
      </c>
      <c r="G2" s="233">
        <f>SUM(F2:F29)</f>
        <v>385</v>
      </c>
      <c r="H2" s="235">
        <v>68</v>
      </c>
      <c r="I2" s="247">
        <f>SUM(H2:H29)</f>
        <v>606</v>
      </c>
      <c r="J2" s="249">
        <v>68</v>
      </c>
      <c r="K2" s="221">
        <f>SUM(J2:J29)</f>
        <v>658</v>
      </c>
      <c r="L2" s="194">
        <f>D2/12336</f>
        <v>9.8086900129701685E-2</v>
      </c>
      <c r="M2" s="195">
        <f>68*L2</f>
        <v>6.6699092088197149</v>
      </c>
      <c r="N2" s="196">
        <v>1410200000</v>
      </c>
      <c r="O2" s="153">
        <f>SUM(K2:K44)</f>
        <v>1117</v>
      </c>
    </row>
    <row r="3" spans="1:15" x14ac:dyDescent="0.25">
      <c r="A3" s="156" t="s">
        <v>17</v>
      </c>
      <c r="B3" s="267"/>
      <c r="C3" s="223"/>
      <c r="D3" s="164">
        <v>3622</v>
      </c>
      <c r="E3" s="224"/>
      <c r="F3" s="232"/>
      <c r="G3" s="233"/>
      <c r="H3" s="235"/>
      <c r="I3" s="247"/>
      <c r="J3" s="249"/>
      <c r="K3" s="221"/>
      <c r="L3" s="182">
        <f t="shared" ref="L2:L7" si="0">D3/12336</f>
        <v>0.29361219195849547</v>
      </c>
      <c r="M3" s="183">
        <f t="shared" ref="M3:M7" si="1">68*L3</f>
        <v>19.965629053177693</v>
      </c>
      <c r="N3" s="101">
        <v>1411300000</v>
      </c>
    </row>
    <row r="4" spans="1:15" x14ac:dyDescent="0.25">
      <c r="A4" s="156" t="s">
        <v>25</v>
      </c>
      <c r="B4" s="267"/>
      <c r="C4" s="223"/>
      <c r="D4" s="164">
        <v>2183</v>
      </c>
      <c r="E4" s="224"/>
      <c r="F4" s="232"/>
      <c r="G4" s="233"/>
      <c r="H4" s="235"/>
      <c r="I4" s="247"/>
      <c r="J4" s="249"/>
      <c r="K4" s="221"/>
      <c r="L4" s="182">
        <f t="shared" si="0"/>
        <v>0.17696173800259404</v>
      </c>
      <c r="M4" s="183">
        <f t="shared" si="1"/>
        <v>12.033398184176395</v>
      </c>
      <c r="N4" s="101">
        <v>1413200000</v>
      </c>
    </row>
    <row r="5" spans="1:15" x14ac:dyDescent="0.25">
      <c r="A5" s="156" t="s">
        <v>28</v>
      </c>
      <c r="B5" s="267"/>
      <c r="C5" s="223"/>
      <c r="D5" s="164">
        <v>1321</v>
      </c>
      <c r="E5" s="224"/>
      <c r="F5" s="232"/>
      <c r="G5" s="233"/>
      <c r="H5" s="235"/>
      <c r="I5" s="247"/>
      <c r="J5" s="249"/>
      <c r="K5" s="221"/>
      <c r="L5" s="182">
        <f t="shared" si="0"/>
        <v>0.10708495460440985</v>
      </c>
      <c r="M5" s="183">
        <f t="shared" si="1"/>
        <v>7.2817769130998702</v>
      </c>
      <c r="N5" s="101">
        <v>1413600000</v>
      </c>
    </row>
    <row r="6" spans="1:15" x14ac:dyDescent="0.25">
      <c r="A6" s="156" t="s">
        <v>29</v>
      </c>
      <c r="B6" s="267"/>
      <c r="C6" s="223"/>
      <c r="D6" s="164">
        <v>3000</v>
      </c>
      <c r="E6" s="224"/>
      <c r="F6" s="232"/>
      <c r="G6" s="233"/>
      <c r="H6" s="235"/>
      <c r="I6" s="247"/>
      <c r="J6" s="249"/>
      <c r="K6" s="221"/>
      <c r="L6" s="182">
        <f t="shared" si="0"/>
        <v>0.24319066147859922</v>
      </c>
      <c r="M6" s="183">
        <f t="shared" si="1"/>
        <v>16.536964980544745</v>
      </c>
      <c r="N6" s="101">
        <v>1413800000</v>
      </c>
    </row>
    <row r="7" spans="1:15" x14ac:dyDescent="0.25">
      <c r="A7" s="156" t="s">
        <v>51</v>
      </c>
      <c r="B7" s="267"/>
      <c r="C7" s="223"/>
      <c r="D7" s="164">
        <v>1000</v>
      </c>
      <c r="E7" s="224"/>
      <c r="F7" s="226"/>
      <c r="G7" s="233"/>
      <c r="H7" s="228"/>
      <c r="I7" s="247"/>
      <c r="J7" s="230"/>
      <c r="K7" s="221"/>
      <c r="L7" s="182">
        <f t="shared" si="0"/>
        <v>8.1063553826199744E-2</v>
      </c>
      <c r="M7" s="183">
        <f t="shared" si="1"/>
        <v>5.5123216601815823</v>
      </c>
      <c r="N7" s="101">
        <v>1425500000</v>
      </c>
    </row>
    <row r="8" spans="1:15" x14ac:dyDescent="0.25">
      <c r="A8" s="156" t="s">
        <v>14</v>
      </c>
      <c r="B8" s="267"/>
      <c r="C8" s="223" t="s">
        <v>122</v>
      </c>
      <c r="D8" s="164">
        <v>3000</v>
      </c>
      <c r="E8" s="224">
        <f>SUM(D8:D9)</f>
        <v>5000</v>
      </c>
      <c r="F8" s="225">
        <v>10</v>
      </c>
      <c r="G8" s="233"/>
      <c r="H8" s="227">
        <v>67</v>
      </c>
      <c r="I8" s="247"/>
      <c r="J8" s="229">
        <v>67</v>
      </c>
      <c r="K8" s="221"/>
      <c r="L8" s="182">
        <f>D8/5000</f>
        <v>0.6</v>
      </c>
      <c r="M8" s="183">
        <f>67*L8</f>
        <v>40.199999999999996</v>
      </c>
      <c r="N8" s="101">
        <v>1411200000</v>
      </c>
    </row>
    <row r="9" spans="1:15" x14ac:dyDescent="0.25">
      <c r="A9" s="156" t="s">
        <v>22</v>
      </c>
      <c r="B9" s="267"/>
      <c r="C9" s="223"/>
      <c r="D9" s="164">
        <v>2000</v>
      </c>
      <c r="E9" s="224"/>
      <c r="F9" s="226"/>
      <c r="G9" s="233"/>
      <c r="H9" s="228"/>
      <c r="I9" s="247"/>
      <c r="J9" s="230"/>
      <c r="K9" s="221"/>
      <c r="L9" s="182">
        <f>D9/5000</f>
        <v>0.4</v>
      </c>
      <c r="M9" s="183">
        <f>67*L9</f>
        <v>26.8</v>
      </c>
      <c r="N9" s="101">
        <v>1412600000</v>
      </c>
    </row>
    <row r="10" spans="1:15" x14ac:dyDescent="0.25">
      <c r="A10" s="156" t="s">
        <v>20</v>
      </c>
      <c r="B10" s="267"/>
      <c r="C10" s="223" t="s">
        <v>120</v>
      </c>
      <c r="D10" s="164">
        <v>8042</v>
      </c>
      <c r="E10" s="224">
        <f>SUM(D10:D11)</f>
        <v>17042</v>
      </c>
      <c r="F10" s="225">
        <v>33</v>
      </c>
      <c r="G10" s="233"/>
      <c r="H10" s="227">
        <v>68</v>
      </c>
      <c r="I10" s="247"/>
      <c r="J10" s="229">
        <v>68</v>
      </c>
      <c r="K10" s="221"/>
      <c r="L10" s="182">
        <f>D10/17042</f>
        <v>0.47189297030864924</v>
      </c>
      <c r="M10" s="183">
        <f>68*L10</f>
        <v>32.088721980988147</v>
      </c>
      <c r="N10" s="101">
        <v>1411700000</v>
      </c>
    </row>
    <row r="11" spans="1:15" x14ac:dyDescent="0.25">
      <c r="A11" s="156" t="s">
        <v>23</v>
      </c>
      <c r="B11" s="267"/>
      <c r="C11" s="223"/>
      <c r="D11" s="164">
        <v>9000</v>
      </c>
      <c r="E11" s="224"/>
      <c r="F11" s="226"/>
      <c r="G11" s="233"/>
      <c r="H11" s="228"/>
      <c r="I11" s="247"/>
      <c r="J11" s="230"/>
      <c r="K11" s="221"/>
      <c r="L11" s="182">
        <f>D11/17042</f>
        <v>0.52810702969135082</v>
      </c>
      <c r="M11" s="183">
        <f>68*L11</f>
        <v>35.911278019011853</v>
      </c>
      <c r="N11" s="101">
        <v>1412900000</v>
      </c>
    </row>
    <row r="12" spans="1:15" x14ac:dyDescent="0.25">
      <c r="A12" s="156" t="s">
        <v>21</v>
      </c>
      <c r="B12" s="267"/>
      <c r="C12" s="162" t="s">
        <v>126</v>
      </c>
      <c r="D12" s="164">
        <v>40000</v>
      </c>
      <c r="E12" s="165">
        <f>SUM(D12)</f>
        <v>40000</v>
      </c>
      <c r="F12" s="165">
        <v>77</v>
      </c>
      <c r="G12" s="233"/>
      <c r="H12" s="166">
        <v>68</v>
      </c>
      <c r="I12" s="247"/>
      <c r="J12" s="167">
        <v>77</v>
      </c>
      <c r="K12" s="221"/>
      <c r="L12" s="182">
        <f>D12/40000</f>
        <v>1</v>
      </c>
      <c r="M12" s="165">
        <f>77*L12</f>
        <v>77</v>
      </c>
      <c r="N12" s="101">
        <v>1412300000</v>
      </c>
    </row>
    <row r="13" spans="1:15" x14ac:dyDescent="0.25">
      <c r="A13" s="157" t="s">
        <v>27</v>
      </c>
      <c r="B13" s="267"/>
      <c r="C13" s="236" t="s">
        <v>123</v>
      </c>
      <c r="D13" s="191">
        <v>0</v>
      </c>
      <c r="E13" s="237">
        <f>SUM(D13:D15)</f>
        <v>29327</v>
      </c>
      <c r="F13" s="238">
        <v>57</v>
      </c>
      <c r="G13" s="233"/>
      <c r="H13" s="241">
        <v>68</v>
      </c>
      <c r="I13" s="247"/>
      <c r="J13" s="244">
        <v>68</v>
      </c>
      <c r="K13" s="221"/>
      <c r="L13" s="184">
        <f>D13/29327</f>
        <v>0</v>
      </c>
      <c r="M13" s="185">
        <f>68*L13</f>
        <v>0</v>
      </c>
      <c r="N13" s="103">
        <v>1423000000</v>
      </c>
    </row>
    <row r="14" spans="1:15" x14ac:dyDescent="0.25">
      <c r="A14" s="157" t="s">
        <v>44</v>
      </c>
      <c r="B14" s="267"/>
      <c r="C14" s="236"/>
      <c r="D14" s="168">
        <v>25074</v>
      </c>
      <c r="E14" s="237"/>
      <c r="F14" s="239"/>
      <c r="G14" s="233"/>
      <c r="H14" s="242"/>
      <c r="I14" s="247"/>
      <c r="J14" s="245"/>
      <c r="K14" s="221"/>
      <c r="L14" s="186">
        <f>D14/29327</f>
        <v>0.85498005251133768</v>
      </c>
      <c r="M14" s="187">
        <f t="shared" ref="M14:M15" si="2">68*L14</f>
        <v>58.138643570770959</v>
      </c>
      <c r="N14" s="101">
        <v>1413300000</v>
      </c>
    </row>
    <row r="15" spans="1:15" x14ac:dyDescent="0.25">
      <c r="A15" s="157" t="s">
        <v>50</v>
      </c>
      <c r="B15" s="267"/>
      <c r="C15" s="236"/>
      <c r="D15" s="168">
        <v>4253</v>
      </c>
      <c r="E15" s="237"/>
      <c r="F15" s="240"/>
      <c r="G15" s="233"/>
      <c r="H15" s="243"/>
      <c r="I15" s="247"/>
      <c r="J15" s="246"/>
      <c r="K15" s="221"/>
      <c r="L15" s="186">
        <f>D15/29327</f>
        <v>0.14501994748866232</v>
      </c>
      <c r="M15" s="187">
        <f t="shared" si="2"/>
        <v>9.861356429229037</v>
      </c>
      <c r="N15" s="101">
        <v>1424200000</v>
      </c>
    </row>
    <row r="16" spans="1:15" x14ac:dyDescent="0.25">
      <c r="A16" s="157" t="s">
        <v>19</v>
      </c>
      <c r="B16" s="267"/>
      <c r="C16" s="236" t="s">
        <v>119</v>
      </c>
      <c r="D16" s="168">
        <v>3203</v>
      </c>
      <c r="E16" s="250">
        <f>SUM(D16:D20)</f>
        <v>6366</v>
      </c>
      <c r="F16" s="257">
        <v>12</v>
      </c>
      <c r="G16" s="233"/>
      <c r="H16" s="251">
        <v>67</v>
      </c>
      <c r="I16" s="247"/>
      <c r="J16" s="254">
        <v>67</v>
      </c>
      <c r="K16" s="221"/>
      <c r="L16" s="186">
        <f>D16/6366</f>
        <v>0.50314169022934341</v>
      </c>
      <c r="M16" s="187">
        <f>67*L16</f>
        <v>33.71049324536601</v>
      </c>
      <c r="N16" s="101">
        <v>1411500000</v>
      </c>
    </row>
    <row r="17" spans="1:14" x14ac:dyDescent="0.25">
      <c r="A17" s="157" t="s">
        <v>40</v>
      </c>
      <c r="B17" s="267"/>
      <c r="C17" s="236"/>
      <c r="D17" s="168">
        <v>580</v>
      </c>
      <c r="E17" s="250"/>
      <c r="F17" s="265"/>
      <c r="G17" s="233"/>
      <c r="H17" s="252"/>
      <c r="I17" s="247"/>
      <c r="J17" s="255"/>
      <c r="K17" s="221"/>
      <c r="L17" s="186">
        <f>D17/6366</f>
        <v>9.1109016650958219E-2</v>
      </c>
      <c r="M17" s="187">
        <f t="shared" ref="M17:M20" si="3">67*L17</f>
        <v>6.1043041156142008</v>
      </c>
      <c r="N17" s="101">
        <v>1422000000</v>
      </c>
    </row>
    <row r="18" spans="1:14" x14ac:dyDescent="0.25">
      <c r="A18" s="157" t="s">
        <v>41</v>
      </c>
      <c r="B18" s="267"/>
      <c r="C18" s="236"/>
      <c r="D18" s="168">
        <v>916</v>
      </c>
      <c r="E18" s="250"/>
      <c r="F18" s="265"/>
      <c r="G18" s="233"/>
      <c r="H18" s="252"/>
      <c r="I18" s="247"/>
      <c r="J18" s="255"/>
      <c r="K18" s="221"/>
      <c r="L18" s="186">
        <f>D18/6366</f>
        <v>0.14388941250392712</v>
      </c>
      <c r="M18" s="187">
        <f t="shared" si="3"/>
        <v>9.6405906377631165</v>
      </c>
      <c r="N18" s="101">
        <v>1422400000</v>
      </c>
    </row>
    <row r="19" spans="1:14" x14ac:dyDescent="0.25">
      <c r="A19" s="157" t="s">
        <v>42</v>
      </c>
      <c r="B19" s="267"/>
      <c r="C19" s="236"/>
      <c r="D19" s="168">
        <v>1030</v>
      </c>
      <c r="E19" s="250"/>
      <c r="F19" s="265"/>
      <c r="G19" s="233"/>
      <c r="H19" s="252"/>
      <c r="I19" s="247"/>
      <c r="J19" s="255"/>
      <c r="K19" s="221"/>
      <c r="L19" s="186">
        <f>D19/6366</f>
        <v>0.16179704681118443</v>
      </c>
      <c r="M19" s="187">
        <f t="shared" si="3"/>
        <v>10.840402136349356</v>
      </c>
      <c r="N19" s="101">
        <v>1422700000</v>
      </c>
    </row>
    <row r="20" spans="1:14" x14ac:dyDescent="0.25">
      <c r="A20" s="157" t="s">
        <v>32</v>
      </c>
      <c r="B20" s="267"/>
      <c r="C20" s="236"/>
      <c r="D20" s="168">
        <v>637</v>
      </c>
      <c r="E20" s="250"/>
      <c r="F20" s="258"/>
      <c r="G20" s="233"/>
      <c r="H20" s="253"/>
      <c r="I20" s="247"/>
      <c r="J20" s="256"/>
      <c r="K20" s="221"/>
      <c r="L20" s="186">
        <f>D20/6366</f>
        <v>0.10006283380458687</v>
      </c>
      <c r="M20" s="187">
        <f t="shared" si="3"/>
        <v>6.7042098649073205</v>
      </c>
      <c r="N20" s="101">
        <v>1420300000</v>
      </c>
    </row>
    <row r="21" spans="1:14" x14ac:dyDescent="0.25">
      <c r="A21" s="157" t="s">
        <v>13</v>
      </c>
      <c r="B21" s="267"/>
      <c r="C21" s="236" t="s">
        <v>116</v>
      </c>
      <c r="D21" s="168">
        <v>6920</v>
      </c>
      <c r="E21" s="250">
        <f>SUM(D21:D22)</f>
        <v>9080</v>
      </c>
      <c r="F21" s="257">
        <v>18</v>
      </c>
      <c r="G21" s="233"/>
      <c r="H21" s="251">
        <v>68</v>
      </c>
      <c r="I21" s="247"/>
      <c r="J21" s="254">
        <v>68</v>
      </c>
      <c r="K21" s="221"/>
      <c r="L21" s="186">
        <f>D21/9080</f>
        <v>0.76211453744493396</v>
      </c>
      <c r="M21" s="187">
        <f>68*L21</f>
        <v>51.823788546255507</v>
      </c>
      <c r="N21" s="101">
        <v>1410300000</v>
      </c>
    </row>
    <row r="22" spans="1:14" x14ac:dyDescent="0.25">
      <c r="A22" s="157" t="s">
        <v>33</v>
      </c>
      <c r="B22" s="267"/>
      <c r="C22" s="236"/>
      <c r="D22" s="168">
        <v>2160</v>
      </c>
      <c r="E22" s="250"/>
      <c r="F22" s="258"/>
      <c r="G22" s="233"/>
      <c r="H22" s="253"/>
      <c r="I22" s="247"/>
      <c r="J22" s="256"/>
      <c r="K22" s="221"/>
      <c r="L22" s="188">
        <f>D22/9080</f>
        <v>0.23788546255506607</v>
      </c>
      <c r="M22" s="187">
        <f>68*L22</f>
        <v>16.176211453744493</v>
      </c>
      <c r="N22" s="101">
        <v>1420900000</v>
      </c>
    </row>
    <row r="23" spans="1:14" x14ac:dyDescent="0.25">
      <c r="A23" s="157" t="s">
        <v>45</v>
      </c>
      <c r="B23" s="267"/>
      <c r="C23" s="236" t="s">
        <v>125</v>
      </c>
      <c r="D23" s="168">
        <v>21000</v>
      </c>
      <c r="E23" s="250">
        <f>SUM(D23:D28)</f>
        <v>55104</v>
      </c>
      <c r="F23" s="257">
        <v>107</v>
      </c>
      <c r="G23" s="233"/>
      <c r="H23" s="251">
        <v>64</v>
      </c>
      <c r="I23" s="247"/>
      <c r="J23" s="254">
        <v>107</v>
      </c>
      <c r="K23" s="221"/>
      <c r="L23" s="186">
        <f t="shared" ref="L23:L28" si="4">D23/55104</f>
        <v>0.38109756097560976</v>
      </c>
      <c r="M23" s="187">
        <f>107*L23</f>
        <v>40.777439024390247</v>
      </c>
      <c r="N23" s="101">
        <v>1423300000</v>
      </c>
    </row>
    <row r="24" spans="1:14" x14ac:dyDescent="0.25">
      <c r="A24" s="157" t="s">
        <v>48</v>
      </c>
      <c r="B24" s="267"/>
      <c r="C24" s="236"/>
      <c r="D24" s="168">
        <v>1200</v>
      </c>
      <c r="E24" s="250"/>
      <c r="F24" s="265"/>
      <c r="G24" s="233"/>
      <c r="H24" s="252"/>
      <c r="I24" s="247"/>
      <c r="J24" s="255"/>
      <c r="K24" s="221"/>
      <c r="L24" s="186">
        <f t="shared" si="4"/>
        <v>2.1777003484320559E-2</v>
      </c>
      <c r="M24" s="187">
        <f t="shared" ref="M24:M28" si="5">107*L24</f>
        <v>2.3301393728222997</v>
      </c>
      <c r="N24" s="102">
        <v>1423900000</v>
      </c>
    </row>
    <row r="25" spans="1:14" x14ac:dyDescent="0.25">
      <c r="A25" s="157" t="s">
        <v>34</v>
      </c>
      <c r="B25" s="267"/>
      <c r="C25" s="236"/>
      <c r="D25" s="168">
        <v>12147</v>
      </c>
      <c r="E25" s="250"/>
      <c r="F25" s="265"/>
      <c r="G25" s="233"/>
      <c r="H25" s="252"/>
      <c r="I25" s="247"/>
      <c r="J25" s="255"/>
      <c r="K25" s="221"/>
      <c r="L25" s="186">
        <f t="shared" si="4"/>
        <v>0.22043771777003485</v>
      </c>
      <c r="M25" s="187">
        <f t="shared" si="5"/>
        <v>23.586835801393729</v>
      </c>
      <c r="N25" s="101">
        <v>1421200000</v>
      </c>
    </row>
    <row r="26" spans="1:14" x14ac:dyDescent="0.25">
      <c r="A26" s="157" t="s">
        <v>37</v>
      </c>
      <c r="B26" s="267"/>
      <c r="C26" s="236"/>
      <c r="D26" s="168">
        <v>14593</v>
      </c>
      <c r="E26" s="250"/>
      <c r="F26" s="265"/>
      <c r="G26" s="233"/>
      <c r="H26" s="252"/>
      <c r="I26" s="247"/>
      <c r="J26" s="255"/>
      <c r="K26" s="221"/>
      <c r="L26" s="186">
        <f t="shared" si="4"/>
        <v>0.2648265098722416</v>
      </c>
      <c r="M26" s="187">
        <f t="shared" si="5"/>
        <v>28.336436556329851</v>
      </c>
      <c r="N26" s="103">
        <v>1421500000</v>
      </c>
    </row>
    <row r="27" spans="1:14" x14ac:dyDescent="0.25">
      <c r="A27" s="157" t="s">
        <v>39</v>
      </c>
      <c r="B27" s="267"/>
      <c r="C27" s="236"/>
      <c r="D27" s="168">
        <v>500</v>
      </c>
      <c r="E27" s="250"/>
      <c r="F27" s="265"/>
      <c r="G27" s="233"/>
      <c r="H27" s="252"/>
      <c r="I27" s="247"/>
      <c r="J27" s="255"/>
      <c r="K27" s="221"/>
      <c r="L27" s="186">
        <f t="shared" si="4"/>
        <v>9.0737514518002323E-3</v>
      </c>
      <c r="M27" s="187">
        <f t="shared" si="5"/>
        <v>0.97089140534262486</v>
      </c>
      <c r="N27" s="102">
        <v>1421700000</v>
      </c>
    </row>
    <row r="28" spans="1:14" x14ac:dyDescent="0.25">
      <c r="A28" s="157" t="s">
        <v>31</v>
      </c>
      <c r="B28" s="267"/>
      <c r="C28" s="236"/>
      <c r="D28" s="168">
        <v>5664</v>
      </c>
      <c r="E28" s="250"/>
      <c r="F28" s="258"/>
      <c r="G28" s="233"/>
      <c r="H28" s="253"/>
      <c r="I28" s="247"/>
      <c r="J28" s="256"/>
      <c r="K28" s="221"/>
      <c r="L28" s="186">
        <f t="shared" si="4"/>
        <v>0.10278745644599303</v>
      </c>
      <c r="M28" s="187">
        <f t="shared" si="5"/>
        <v>10.998257839721255</v>
      </c>
      <c r="N28" s="101">
        <v>1414800000</v>
      </c>
    </row>
    <row r="29" spans="1:14" ht="16.5" thickBot="1" x14ac:dyDescent="0.3">
      <c r="A29" s="157" t="s">
        <v>30</v>
      </c>
      <c r="B29" s="267"/>
      <c r="C29" s="155" t="s">
        <v>129</v>
      </c>
      <c r="D29" s="168">
        <v>24217</v>
      </c>
      <c r="E29" s="169">
        <v>24217</v>
      </c>
      <c r="F29" s="169">
        <v>47</v>
      </c>
      <c r="G29" s="234"/>
      <c r="H29" s="170">
        <v>68</v>
      </c>
      <c r="I29" s="248"/>
      <c r="J29" s="171">
        <v>68</v>
      </c>
      <c r="K29" s="222"/>
      <c r="L29" s="186">
        <f>D29/24217</f>
        <v>1</v>
      </c>
      <c r="M29" s="169">
        <f>68*L29</f>
        <v>68</v>
      </c>
      <c r="N29" s="101">
        <v>1414100000</v>
      </c>
    </row>
    <row r="30" spans="1:14" x14ac:dyDescent="0.25">
      <c r="A30" s="158" t="s">
        <v>60</v>
      </c>
      <c r="B30" s="259" t="s">
        <v>103</v>
      </c>
      <c r="C30" s="260" t="s">
        <v>117</v>
      </c>
      <c r="D30" s="180">
        <v>4687</v>
      </c>
      <c r="E30" s="261">
        <f>SUM(D30:D34)</f>
        <v>15248</v>
      </c>
      <c r="F30" s="262">
        <v>91.723792576728655</v>
      </c>
      <c r="G30" s="284">
        <f>SUM(F30:F44)</f>
        <v>382</v>
      </c>
      <c r="H30" s="287">
        <v>68</v>
      </c>
      <c r="I30" s="273">
        <f>SUM(H30:H44)</f>
        <v>330</v>
      </c>
      <c r="J30" s="270">
        <v>92</v>
      </c>
      <c r="K30" s="268">
        <f>SUM(J30:J44)</f>
        <v>459</v>
      </c>
      <c r="L30" s="173">
        <f>D30/15248</f>
        <v>0.30738457502623295</v>
      </c>
      <c r="M30" s="178">
        <f>92*L30</f>
        <v>28.279380902413433</v>
      </c>
      <c r="N30" s="132">
        <v>4420900000</v>
      </c>
    </row>
    <row r="31" spans="1:14" x14ac:dyDescent="0.25">
      <c r="A31" s="158" t="s">
        <v>61</v>
      </c>
      <c r="B31" s="259"/>
      <c r="C31" s="260"/>
      <c r="D31" s="180">
        <v>4458</v>
      </c>
      <c r="E31" s="261"/>
      <c r="F31" s="263"/>
      <c r="G31" s="285"/>
      <c r="H31" s="288"/>
      <c r="I31" s="274"/>
      <c r="J31" s="271"/>
      <c r="K31" s="268"/>
      <c r="L31" s="173">
        <f t="shared" ref="L31:L34" si="6">D31/15248</f>
        <v>0.29236621196222456</v>
      </c>
      <c r="M31" s="178">
        <f t="shared" ref="M31:M34" si="7">92*L31</f>
        <v>26.897691500524658</v>
      </c>
      <c r="N31" s="133">
        <v>4421600000</v>
      </c>
    </row>
    <row r="32" spans="1:14" x14ac:dyDescent="0.25">
      <c r="A32" s="158" t="s">
        <v>67</v>
      </c>
      <c r="B32" s="259"/>
      <c r="C32" s="260"/>
      <c r="D32" s="180">
        <v>3000</v>
      </c>
      <c r="E32" s="261"/>
      <c r="F32" s="263"/>
      <c r="G32" s="285"/>
      <c r="H32" s="288"/>
      <c r="I32" s="274"/>
      <c r="J32" s="271"/>
      <c r="K32" s="268"/>
      <c r="L32" s="173">
        <f t="shared" si="6"/>
        <v>0.19674711437565581</v>
      </c>
      <c r="M32" s="178">
        <f t="shared" si="7"/>
        <v>18.100734522560334</v>
      </c>
      <c r="N32" s="133">
        <v>4423300000</v>
      </c>
    </row>
    <row r="33" spans="1:14" x14ac:dyDescent="0.25">
      <c r="A33" s="158" t="s">
        <v>69</v>
      </c>
      <c r="B33" s="259"/>
      <c r="C33" s="260"/>
      <c r="D33" s="180">
        <v>1703</v>
      </c>
      <c r="E33" s="261"/>
      <c r="F33" s="263"/>
      <c r="G33" s="285"/>
      <c r="H33" s="288"/>
      <c r="I33" s="274"/>
      <c r="J33" s="271"/>
      <c r="K33" s="268"/>
      <c r="L33" s="173">
        <f t="shared" si="6"/>
        <v>0.11168677859391396</v>
      </c>
      <c r="M33" s="178">
        <f t="shared" si="7"/>
        <v>10.275183630640084</v>
      </c>
      <c r="N33" s="133">
        <v>4424000000</v>
      </c>
    </row>
    <row r="34" spans="1:14" x14ac:dyDescent="0.25">
      <c r="A34" s="158" t="s">
        <v>74</v>
      </c>
      <c r="B34" s="259"/>
      <c r="C34" s="260"/>
      <c r="D34" s="180">
        <v>1400</v>
      </c>
      <c r="E34" s="261"/>
      <c r="F34" s="264"/>
      <c r="G34" s="285"/>
      <c r="H34" s="289"/>
      <c r="I34" s="274"/>
      <c r="J34" s="272"/>
      <c r="K34" s="268"/>
      <c r="L34" s="173">
        <f t="shared" si="6"/>
        <v>9.1815320041972723E-2</v>
      </c>
      <c r="M34" s="178">
        <f t="shared" si="7"/>
        <v>8.4470094438614911</v>
      </c>
      <c r="N34" s="134">
        <v>4425400000</v>
      </c>
    </row>
    <row r="35" spans="1:14" x14ac:dyDescent="0.25">
      <c r="A35" s="158" t="s">
        <v>59</v>
      </c>
      <c r="B35" s="259"/>
      <c r="C35" s="269" t="s">
        <v>118</v>
      </c>
      <c r="D35" s="180">
        <v>13000</v>
      </c>
      <c r="E35" s="261">
        <f>SUM(D35:D38)</f>
        <v>20531</v>
      </c>
      <c r="F35" s="262">
        <v>123.50348802418785</v>
      </c>
      <c r="G35" s="285"/>
      <c r="H35" s="287">
        <v>68</v>
      </c>
      <c r="I35" s="274"/>
      <c r="J35" s="270">
        <v>124</v>
      </c>
      <c r="K35" s="268"/>
      <c r="L35" s="173">
        <f>D35/20531</f>
        <v>0.63318883639374601</v>
      </c>
      <c r="M35" s="178">
        <f>124*L35</f>
        <v>78.515415712824506</v>
      </c>
      <c r="N35" s="132">
        <v>4420600000</v>
      </c>
    </row>
    <row r="36" spans="1:14" x14ac:dyDescent="0.25">
      <c r="A36" s="158" t="s">
        <v>63</v>
      </c>
      <c r="B36" s="259"/>
      <c r="C36" s="269"/>
      <c r="D36" s="180">
        <v>2594</v>
      </c>
      <c r="E36" s="261"/>
      <c r="F36" s="263"/>
      <c r="G36" s="285"/>
      <c r="H36" s="288"/>
      <c r="I36" s="274"/>
      <c r="J36" s="271"/>
      <c r="K36" s="268"/>
      <c r="L36" s="173">
        <f t="shared" ref="L36:L38" si="8">D36/20531</f>
        <v>0.12634552627733672</v>
      </c>
      <c r="M36" s="178">
        <f t="shared" ref="M36:M38" si="9">124*L36</f>
        <v>15.666845258389754</v>
      </c>
      <c r="N36" s="133">
        <v>4422500000</v>
      </c>
    </row>
    <row r="37" spans="1:14" x14ac:dyDescent="0.25">
      <c r="A37" s="158" t="s">
        <v>65</v>
      </c>
      <c r="B37" s="259"/>
      <c r="C37" s="269"/>
      <c r="D37" s="180">
        <v>2778</v>
      </c>
      <c r="E37" s="261"/>
      <c r="F37" s="263"/>
      <c r="G37" s="285"/>
      <c r="H37" s="288"/>
      <c r="I37" s="274"/>
      <c r="J37" s="271"/>
      <c r="K37" s="268"/>
      <c r="L37" s="173">
        <f t="shared" si="8"/>
        <v>0.13530758365398665</v>
      </c>
      <c r="M37" s="178">
        <f t="shared" si="9"/>
        <v>16.778140373094345</v>
      </c>
      <c r="N37" s="133">
        <v>4422800000</v>
      </c>
    </row>
    <row r="38" spans="1:14" x14ac:dyDescent="0.25">
      <c r="A38" s="158" t="s">
        <v>72</v>
      </c>
      <c r="B38" s="259"/>
      <c r="C38" s="269"/>
      <c r="D38" s="180">
        <v>2159</v>
      </c>
      <c r="E38" s="261"/>
      <c r="F38" s="264"/>
      <c r="G38" s="285"/>
      <c r="H38" s="289"/>
      <c r="I38" s="274"/>
      <c r="J38" s="272"/>
      <c r="K38" s="268"/>
      <c r="L38" s="173">
        <f t="shared" si="8"/>
        <v>0.1051580536749306</v>
      </c>
      <c r="M38" s="178">
        <f t="shared" si="9"/>
        <v>13.039598655691394</v>
      </c>
      <c r="N38" s="134">
        <v>4425100000</v>
      </c>
    </row>
    <row r="39" spans="1:14" x14ac:dyDescent="0.25">
      <c r="A39" s="158" t="s">
        <v>68</v>
      </c>
      <c r="B39" s="259"/>
      <c r="C39" s="163" t="s">
        <v>128</v>
      </c>
      <c r="D39" s="180">
        <v>400</v>
      </c>
      <c r="E39" s="172">
        <f>SUM(D39)</f>
        <v>400</v>
      </c>
      <c r="F39" s="179">
        <v>2.4061855345416752</v>
      </c>
      <c r="G39" s="285"/>
      <c r="H39" s="174">
        <v>58</v>
      </c>
      <c r="I39" s="274"/>
      <c r="J39" s="175">
        <v>58</v>
      </c>
      <c r="K39" s="268"/>
      <c r="L39" s="173">
        <f>D39/400</f>
        <v>1</v>
      </c>
      <c r="M39" s="172">
        <f>58*L39</f>
        <v>58</v>
      </c>
      <c r="N39" s="137">
        <v>4423800000</v>
      </c>
    </row>
    <row r="40" spans="1:14" x14ac:dyDescent="0.25">
      <c r="A40" s="158" t="s">
        <v>66</v>
      </c>
      <c r="B40" s="259"/>
      <c r="C40" s="260" t="s">
        <v>127</v>
      </c>
      <c r="D40" s="180">
        <v>6389</v>
      </c>
      <c r="E40" s="261">
        <f>SUM(D40:D41)</f>
        <v>7817</v>
      </c>
      <c r="F40" s="262">
        <v>47.022880808780691</v>
      </c>
      <c r="G40" s="285"/>
      <c r="H40" s="287">
        <v>68</v>
      </c>
      <c r="I40" s="274"/>
      <c r="J40" s="270">
        <v>68</v>
      </c>
      <c r="K40" s="268"/>
      <c r="L40" s="173">
        <f>D40/7817</f>
        <v>0.81732122297556609</v>
      </c>
      <c r="M40" s="189">
        <f>68*L40</f>
        <v>55.577843162338496</v>
      </c>
      <c r="N40" s="132">
        <v>4423100000</v>
      </c>
    </row>
    <row r="41" spans="1:14" x14ac:dyDescent="0.25">
      <c r="A41" s="158" t="s">
        <v>70</v>
      </c>
      <c r="B41" s="259"/>
      <c r="C41" s="260"/>
      <c r="D41" s="180">
        <v>1428</v>
      </c>
      <c r="E41" s="261"/>
      <c r="F41" s="264"/>
      <c r="G41" s="285"/>
      <c r="H41" s="289"/>
      <c r="I41" s="274"/>
      <c r="J41" s="272"/>
      <c r="K41" s="268"/>
      <c r="L41" s="173">
        <f>D41/7817</f>
        <v>0.18267877702443391</v>
      </c>
      <c r="M41" s="189">
        <f>68*L41</f>
        <v>12.422156837661506</v>
      </c>
      <c r="N41" s="134">
        <v>4424800000</v>
      </c>
    </row>
    <row r="42" spans="1:14" x14ac:dyDescent="0.25">
      <c r="A42" s="159" t="s">
        <v>52</v>
      </c>
      <c r="B42" s="259"/>
      <c r="C42" s="276" t="s">
        <v>124</v>
      </c>
      <c r="D42" s="181">
        <v>4663</v>
      </c>
      <c r="E42" s="277">
        <f>SUM(D42:D44)</f>
        <v>19507</v>
      </c>
      <c r="F42" s="278">
        <v>117.34365305576114</v>
      </c>
      <c r="G42" s="285"/>
      <c r="H42" s="290">
        <v>68</v>
      </c>
      <c r="I42" s="274"/>
      <c r="J42" s="281">
        <v>117</v>
      </c>
      <c r="K42" s="268"/>
      <c r="L42" s="176">
        <f>D42/19507</f>
        <v>0.2390423950376788</v>
      </c>
      <c r="M42" s="190">
        <f>117*L42</f>
        <v>27.967960219408418</v>
      </c>
      <c r="N42" s="132">
        <v>4411800000</v>
      </c>
    </row>
    <row r="43" spans="1:14" x14ac:dyDescent="0.25">
      <c r="A43" s="159" t="s">
        <v>56</v>
      </c>
      <c r="B43" s="259"/>
      <c r="C43" s="276"/>
      <c r="D43" s="181">
        <v>3629</v>
      </c>
      <c r="E43" s="277"/>
      <c r="F43" s="279"/>
      <c r="G43" s="285"/>
      <c r="H43" s="291"/>
      <c r="I43" s="274"/>
      <c r="J43" s="282"/>
      <c r="K43" s="268"/>
      <c r="L43" s="176">
        <f t="shared" ref="L43:L44" si="10">D43/19507</f>
        <v>0.18603578202696469</v>
      </c>
      <c r="M43" s="190">
        <f t="shared" ref="M43:M44" si="11">117*L43</f>
        <v>21.76618649715487</v>
      </c>
      <c r="N43" s="133">
        <v>4412500000</v>
      </c>
    </row>
    <row r="44" spans="1:14" ht="16.5" thickBot="1" x14ac:dyDescent="0.3">
      <c r="A44" s="159" t="s">
        <v>58</v>
      </c>
      <c r="B44" s="259"/>
      <c r="C44" s="276"/>
      <c r="D44" s="181">
        <v>11215</v>
      </c>
      <c r="E44" s="277"/>
      <c r="F44" s="280"/>
      <c r="G44" s="286"/>
      <c r="H44" s="292"/>
      <c r="I44" s="275"/>
      <c r="J44" s="283"/>
      <c r="K44" s="268"/>
      <c r="L44" s="176">
        <f t="shared" si="10"/>
        <v>0.57492182293535654</v>
      </c>
      <c r="M44" s="177">
        <f t="shared" si="11"/>
        <v>67.265853283436712</v>
      </c>
      <c r="N44" s="134">
        <v>4412900000</v>
      </c>
    </row>
    <row r="47" spans="1:14" x14ac:dyDescent="0.25">
      <c r="K47" s="153">
        <f>SUM(K2:K44)</f>
        <v>1117</v>
      </c>
    </row>
  </sheetData>
  <mergeCells count="63">
    <mergeCell ref="J30:J34"/>
    <mergeCell ref="G30:G44"/>
    <mergeCell ref="H30:H34"/>
    <mergeCell ref="H35:H38"/>
    <mergeCell ref="H40:H41"/>
    <mergeCell ref="H42:H44"/>
    <mergeCell ref="H23:H28"/>
    <mergeCell ref="J23:J28"/>
    <mergeCell ref="K30:K44"/>
    <mergeCell ref="C35:C38"/>
    <mergeCell ref="E35:E38"/>
    <mergeCell ref="F35:F38"/>
    <mergeCell ref="J35:J38"/>
    <mergeCell ref="I30:I44"/>
    <mergeCell ref="C42:C44"/>
    <mergeCell ref="E42:E44"/>
    <mergeCell ref="F42:F44"/>
    <mergeCell ref="J42:J44"/>
    <mergeCell ref="C40:C41"/>
    <mergeCell ref="E40:E41"/>
    <mergeCell ref="F40:F41"/>
    <mergeCell ref="J40:J41"/>
    <mergeCell ref="B30:B44"/>
    <mergeCell ref="C30:C34"/>
    <mergeCell ref="E30:E34"/>
    <mergeCell ref="F30:F34"/>
    <mergeCell ref="F16:F20"/>
    <mergeCell ref="B2:B29"/>
    <mergeCell ref="C23:C28"/>
    <mergeCell ref="E23:E28"/>
    <mergeCell ref="F23:F28"/>
    <mergeCell ref="J10:J11"/>
    <mergeCell ref="C13:C15"/>
    <mergeCell ref="E13:E15"/>
    <mergeCell ref="F13:F15"/>
    <mergeCell ref="H13:H15"/>
    <mergeCell ref="J13:J15"/>
    <mergeCell ref="I2:I29"/>
    <mergeCell ref="J2:J7"/>
    <mergeCell ref="E16:E20"/>
    <mergeCell ref="H16:H20"/>
    <mergeCell ref="J16:J20"/>
    <mergeCell ref="C21:C22"/>
    <mergeCell ref="E21:E22"/>
    <mergeCell ref="F21:F22"/>
    <mergeCell ref="H21:H22"/>
    <mergeCell ref="J21:J22"/>
    <mergeCell ref="K2:K29"/>
    <mergeCell ref="C8:C9"/>
    <mergeCell ref="E8:E9"/>
    <mergeCell ref="F8:F9"/>
    <mergeCell ref="H8:H9"/>
    <mergeCell ref="J8:J9"/>
    <mergeCell ref="C10:C11"/>
    <mergeCell ref="E10:E11"/>
    <mergeCell ref="C2:C7"/>
    <mergeCell ref="E2:E7"/>
    <mergeCell ref="F2:F7"/>
    <mergeCell ref="G2:G29"/>
    <mergeCell ref="H2:H7"/>
    <mergeCell ref="F10:F11"/>
    <mergeCell ref="H10:H11"/>
    <mergeCell ref="C16:C20"/>
  </mergeCells>
  <pageMargins left="0.7" right="0.7" top="0.75" bottom="0.75" header="0.3" footer="0.3"/>
  <pageSetup paperSize="9" orientation="portrait" horizontalDpi="0" verticalDpi="0"/>
  <ignoredErrors>
    <ignoredError sqref="K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B9" sqref="B9"/>
    </sheetView>
  </sheetViews>
  <sheetFormatPr defaultColWidth="11.5703125" defaultRowHeight="15" x14ac:dyDescent="0.2"/>
  <cols>
    <col min="1" max="2" width="19.28515625" style="34" customWidth="1"/>
    <col min="3" max="3" width="27.7109375" style="34" customWidth="1"/>
    <col min="4" max="4" width="23.28515625" style="96" customWidth="1"/>
    <col min="5" max="5" width="10.7109375" style="97"/>
  </cols>
  <sheetData>
    <row r="1" spans="1:5" ht="47.25" x14ac:dyDescent="0.2">
      <c r="A1" s="80" t="s">
        <v>0</v>
      </c>
      <c r="B1" s="78" t="s">
        <v>131</v>
      </c>
      <c r="C1" s="80" t="s">
        <v>130</v>
      </c>
      <c r="D1" s="81" t="s">
        <v>5</v>
      </c>
      <c r="E1" s="80" t="s">
        <v>8</v>
      </c>
    </row>
    <row r="2" spans="1:5" ht="15.75" x14ac:dyDescent="0.25">
      <c r="A2" s="82" t="s">
        <v>13</v>
      </c>
      <c r="B2" s="79" t="s">
        <v>92</v>
      </c>
      <c r="C2" s="83" t="s">
        <v>116</v>
      </c>
      <c r="D2" s="84">
        <v>6920</v>
      </c>
      <c r="E2" s="85">
        <v>1410300000</v>
      </c>
    </row>
    <row r="3" spans="1:5" ht="15.75" x14ac:dyDescent="0.25">
      <c r="A3" s="82" t="s">
        <v>33</v>
      </c>
      <c r="B3" s="79" t="s">
        <v>92</v>
      </c>
      <c r="C3" s="83" t="s">
        <v>116</v>
      </c>
      <c r="D3" s="84">
        <v>2160</v>
      </c>
      <c r="E3" s="85">
        <v>1420900000</v>
      </c>
    </row>
    <row r="4" spans="1:5" ht="15.75" x14ac:dyDescent="0.25">
      <c r="A4" s="86" t="s">
        <v>9</v>
      </c>
      <c r="B4" s="79" t="s">
        <v>92</v>
      </c>
      <c r="C4" s="83" t="s">
        <v>121</v>
      </c>
      <c r="D4" s="84">
        <v>1210</v>
      </c>
      <c r="E4" s="85">
        <v>1410200000</v>
      </c>
    </row>
    <row r="5" spans="1:5" ht="15.75" x14ac:dyDescent="0.25">
      <c r="A5" s="82" t="s">
        <v>60</v>
      </c>
      <c r="B5" s="79" t="s">
        <v>103</v>
      </c>
      <c r="C5" s="83" t="s">
        <v>117</v>
      </c>
      <c r="D5" s="84">
        <v>4687</v>
      </c>
      <c r="E5" s="85">
        <v>4420900000</v>
      </c>
    </row>
    <row r="6" spans="1:5" ht="15.75" x14ac:dyDescent="0.25">
      <c r="A6" s="82" t="s">
        <v>59</v>
      </c>
      <c r="B6" s="79" t="s">
        <v>103</v>
      </c>
      <c r="C6" s="88" t="s">
        <v>118</v>
      </c>
      <c r="D6" s="84">
        <v>13000</v>
      </c>
      <c r="E6" s="85">
        <v>4420600000</v>
      </c>
    </row>
    <row r="7" spans="1:5" ht="15.75" x14ac:dyDescent="0.25">
      <c r="A7" s="82" t="s">
        <v>19</v>
      </c>
      <c r="B7" s="79" t="s">
        <v>92</v>
      </c>
      <c r="C7" s="83" t="s">
        <v>119</v>
      </c>
      <c r="D7" s="84">
        <v>3203</v>
      </c>
      <c r="E7" s="85">
        <v>1411500000</v>
      </c>
    </row>
    <row r="8" spans="1:5" ht="15.75" x14ac:dyDescent="0.25">
      <c r="A8" s="82" t="s">
        <v>40</v>
      </c>
      <c r="B8" s="79" t="s">
        <v>92</v>
      </c>
      <c r="C8" s="83" t="s">
        <v>119</v>
      </c>
      <c r="D8" s="84">
        <v>580</v>
      </c>
      <c r="E8" s="85">
        <v>1422000000</v>
      </c>
    </row>
    <row r="9" spans="1:5" ht="15.75" x14ac:dyDescent="0.25">
      <c r="A9" s="82" t="s">
        <v>20</v>
      </c>
      <c r="B9" s="79" t="s">
        <v>92</v>
      </c>
      <c r="C9" s="83" t="s">
        <v>120</v>
      </c>
      <c r="D9" s="84">
        <v>8042</v>
      </c>
      <c r="E9" s="85">
        <v>1411700000</v>
      </c>
    </row>
    <row r="10" spans="1:5" ht="15.75" x14ac:dyDescent="0.25">
      <c r="A10" s="82" t="s">
        <v>17</v>
      </c>
      <c r="B10" s="79" t="s">
        <v>92</v>
      </c>
      <c r="C10" s="83" t="s">
        <v>121</v>
      </c>
      <c r="D10" s="84">
        <v>3622</v>
      </c>
      <c r="E10" s="85">
        <v>1411300000</v>
      </c>
    </row>
    <row r="11" spans="1:5" ht="15.75" x14ac:dyDescent="0.25">
      <c r="A11" s="82" t="s">
        <v>14</v>
      </c>
      <c r="B11" s="79" t="s">
        <v>92</v>
      </c>
      <c r="C11" s="83" t="s">
        <v>122</v>
      </c>
      <c r="D11" s="84">
        <v>3000</v>
      </c>
      <c r="E11" s="85">
        <v>1411200000</v>
      </c>
    </row>
    <row r="12" spans="1:5" ht="15.75" x14ac:dyDescent="0.25">
      <c r="A12" s="82" t="s">
        <v>22</v>
      </c>
      <c r="B12" s="79" t="s">
        <v>92</v>
      </c>
      <c r="C12" s="83" t="s">
        <v>122</v>
      </c>
      <c r="D12" s="84">
        <v>2000</v>
      </c>
      <c r="E12" s="85">
        <v>1412600000</v>
      </c>
    </row>
    <row r="13" spans="1:5" ht="15.75" x14ac:dyDescent="0.25">
      <c r="A13" s="82" t="s">
        <v>41</v>
      </c>
      <c r="B13" s="79" t="s">
        <v>92</v>
      </c>
      <c r="C13" s="83" t="s">
        <v>119</v>
      </c>
      <c r="D13" s="84">
        <v>916</v>
      </c>
      <c r="E13" s="85">
        <v>1422400000</v>
      </c>
    </row>
    <row r="14" spans="1:5" ht="15.75" x14ac:dyDescent="0.25">
      <c r="A14" s="82" t="s">
        <v>23</v>
      </c>
      <c r="B14" s="79" t="s">
        <v>92</v>
      </c>
      <c r="C14" s="83" t="s">
        <v>120</v>
      </c>
      <c r="D14" s="84">
        <v>9000</v>
      </c>
      <c r="E14" s="85">
        <v>1412900000</v>
      </c>
    </row>
    <row r="15" spans="1:5" ht="15.75" x14ac:dyDescent="0.25">
      <c r="A15" s="82" t="s">
        <v>25</v>
      </c>
      <c r="B15" s="79" t="s">
        <v>92</v>
      </c>
      <c r="C15" s="83" t="s">
        <v>121</v>
      </c>
      <c r="D15" s="84">
        <v>2183</v>
      </c>
      <c r="E15" s="85">
        <v>1413200000</v>
      </c>
    </row>
    <row r="16" spans="1:5" ht="15.75" x14ac:dyDescent="0.25">
      <c r="A16" s="82" t="s">
        <v>42</v>
      </c>
      <c r="B16" s="79" t="s">
        <v>92</v>
      </c>
      <c r="C16" s="83" t="s">
        <v>119</v>
      </c>
      <c r="D16" s="84">
        <v>1030</v>
      </c>
      <c r="E16" s="85">
        <v>1422700000</v>
      </c>
    </row>
    <row r="17" spans="1:5" ht="15.75" x14ac:dyDescent="0.25">
      <c r="A17" s="87" t="s">
        <v>27</v>
      </c>
      <c r="B17" s="79" t="s">
        <v>92</v>
      </c>
      <c r="C17" s="83" t="s">
        <v>123</v>
      </c>
      <c r="D17" s="89">
        <v>0</v>
      </c>
      <c r="E17" s="90">
        <v>1423000000</v>
      </c>
    </row>
    <row r="18" spans="1:5" ht="15.75" x14ac:dyDescent="0.25">
      <c r="A18" s="82" t="s">
        <v>44</v>
      </c>
      <c r="B18" s="79" t="s">
        <v>92</v>
      </c>
      <c r="C18" s="83" t="s">
        <v>123</v>
      </c>
      <c r="D18" s="84">
        <v>25074</v>
      </c>
      <c r="E18" s="85">
        <v>1413300000</v>
      </c>
    </row>
    <row r="19" spans="1:5" ht="15.75" x14ac:dyDescent="0.25">
      <c r="A19" s="82" t="s">
        <v>61</v>
      </c>
      <c r="B19" s="79" t="s">
        <v>103</v>
      </c>
      <c r="C19" s="83" t="s">
        <v>117</v>
      </c>
      <c r="D19" s="84">
        <v>4458</v>
      </c>
      <c r="E19" s="85">
        <v>4421600000</v>
      </c>
    </row>
    <row r="20" spans="1:5" ht="15.75" x14ac:dyDescent="0.25">
      <c r="A20" s="82" t="s">
        <v>52</v>
      </c>
      <c r="B20" s="79" t="s">
        <v>103</v>
      </c>
      <c r="C20" s="83" t="s">
        <v>124</v>
      </c>
      <c r="D20" s="84">
        <v>4663</v>
      </c>
      <c r="E20" s="85">
        <v>4411800000</v>
      </c>
    </row>
    <row r="21" spans="1:5" ht="15.75" x14ac:dyDescent="0.25">
      <c r="A21" s="82" t="s">
        <v>45</v>
      </c>
      <c r="B21" s="79" t="s">
        <v>92</v>
      </c>
      <c r="C21" s="83" t="s">
        <v>125</v>
      </c>
      <c r="D21" s="84">
        <v>21000</v>
      </c>
      <c r="E21" s="85">
        <v>1423300000</v>
      </c>
    </row>
    <row r="22" spans="1:5" ht="15.75" x14ac:dyDescent="0.25">
      <c r="A22" s="82" t="s">
        <v>21</v>
      </c>
      <c r="B22" s="79" t="s">
        <v>92</v>
      </c>
      <c r="C22" s="83" t="s">
        <v>126</v>
      </c>
      <c r="D22" s="84">
        <v>40000</v>
      </c>
      <c r="E22" s="85">
        <v>1412300000</v>
      </c>
    </row>
    <row r="23" spans="1:5" ht="15.75" x14ac:dyDescent="0.25">
      <c r="A23" s="82" t="s">
        <v>63</v>
      </c>
      <c r="B23" s="79" t="s">
        <v>103</v>
      </c>
      <c r="C23" s="88" t="s">
        <v>118</v>
      </c>
      <c r="D23" s="84">
        <v>2594</v>
      </c>
      <c r="E23" s="85">
        <v>4422500000</v>
      </c>
    </row>
    <row r="24" spans="1:5" ht="15.75" x14ac:dyDescent="0.25">
      <c r="A24" s="82" t="s">
        <v>65</v>
      </c>
      <c r="B24" s="79" t="s">
        <v>103</v>
      </c>
      <c r="C24" s="88" t="s">
        <v>118</v>
      </c>
      <c r="D24" s="84">
        <v>2778</v>
      </c>
      <c r="E24" s="85">
        <v>4422800000</v>
      </c>
    </row>
    <row r="25" spans="1:5" ht="15.75" x14ac:dyDescent="0.25">
      <c r="A25" s="82" t="s">
        <v>66</v>
      </c>
      <c r="B25" s="79" t="s">
        <v>103</v>
      </c>
      <c r="C25" s="83" t="s">
        <v>127</v>
      </c>
      <c r="D25" s="84">
        <v>6389</v>
      </c>
      <c r="E25" s="85">
        <v>4423100000</v>
      </c>
    </row>
    <row r="26" spans="1:5" ht="15.75" x14ac:dyDescent="0.25">
      <c r="A26" s="82" t="s">
        <v>28</v>
      </c>
      <c r="B26" s="79" t="s">
        <v>92</v>
      </c>
      <c r="C26" s="83" t="s">
        <v>121</v>
      </c>
      <c r="D26" s="84">
        <v>1321</v>
      </c>
      <c r="E26" s="85">
        <v>1413600000</v>
      </c>
    </row>
    <row r="27" spans="1:5" ht="15.75" x14ac:dyDescent="0.25">
      <c r="A27" s="82" t="s">
        <v>67</v>
      </c>
      <c r="B27" s="79" t="s">
        <v>103</v>
      </c>
      <c r="C27" s="83" t="s">
        <v>117</v>
      </c>
      <c r="D27" s="84">
        <v>3000</v>
      </c>
      <c r="E27" s="85">
        <v>4423300000</v>
      </c>
    </row>
    <row r="28" spans="1:5" ht="15.75" x14ac:dyDescent="0.25">
      <c r="A28" s="82" t="s">
        <v>32</v>
      </c>
      <c r="B28" s="79" t="s">
        <v>92</v>
      </c>
      <c r="C28" s="83" t="s">
        <v>119</v>
      </c>
      <c r="D28" s="84">
        <v>637</v>
      </c>
      <c r="E28" s="91">
        <v>1420300000</v>
      </c>
    </row>
    <row r="29" spans="1:5" ht="15.75" x14ac:dyDescent="0.25">
      <c r="A29" s="82" t="s">
        <v>48</v>
      </c>
      <c r="B29" s="79" t="s">
        <v>92</v>
      </c>
      <c r="C29" s="83" t="s">
        <v>125</v>
      </c>
      <c r="D29" s="84">
        <v>1200</v>
      </c>
      <c r="E29" s="92">
        <v>1423900000</v>
      </c>
    </row>
    <row r="30" spans="1:5" ht="15.75" x14ac:dyDescent="0.25">
      <c r="A30" s="82" t="s">
        <v>68</v>
      </c>
      <c r="B30" s="79" t="s">
        <v>103</v>
      </c>
      <c r="C30" s="83" t="s">
        <v>128</v>
      </c>
      <c r="D30" s="84">
        <v>400</v>
      </c>
      <c r="E30" s="85">
        <v>4423800000</v>
      </c>
    </row>
    <row r="31" spans="1:5" ht="15.75" x14ac:dyDescent="0.25">
      <c r="A31" s="82" t="s">
        <v>56</v>
      </c>
      <c r="B31" s="79" t="s">
        <v>103</v>
      </c>
      <c r="C31" s="83" t="s">
        <v>124</v>
      </c>
      <c r="D31" s="84">
        <v>3629</v>
      </c>
      <c r="E31" s="85">
        <v>4412500000</v>
      </c>
    </row>
    <row r="32" spans="1:5" ht="15.75" x14ac:dyDescent="0.25">
      <c r="A32" s="87" t="s">
        <v>29</v>
      </c>
      <c r="B32" s="79" t="s">
        <v>92</v>
      </c>
      <c r="C32" s="83" t="s">
        <v>121</v>
      </c>
      <c r="D32" s="84">
        <v>3000</v>
      </c>
      <c r="E32" s="85">
        <v>1413800000</v>
      </c>
    </row>
    <row r="33" spans="1:5" ht="15.75" x14ac:dyDescent="0.25">
      <c r="A33" s="82" t="s">
        <v>58</v>
      </c>
      <c r="B33" s="79" t="s">
        <v>103</v>
      </c>
      <c r="C33" s="83" t="s">
        <v>124</v>
      </c>
      <c r="D33" s="84">
        <v>11215</v>
      </c>
      <c r="E33" s="85">
        <v>4412900000</v>
      </c>
    </row>
    <row r="34" spans="1:5" ht="15.75" x14ac:dyDescent="0.25">
      <c r="A34" s="82" t="s">
        <v>30</v>
      </c>
      <c r="B34" s="79" t="s">
        <v>92</v>
      </c>
      <c r="C34" s="83" t="s">
        <v>129</v>
      </c>
      <c r="D34" s="84">
        <v>24217</v>
      </c>
      <c r="E34" s="85">
        <v>1414100000</v>
      </c>
    </row>
    <row r="35" spans="1:5" ht="15.75" x14ac:dyDescent="0.25">
      <c r="A35" s="82" t="s">
        <v>50</v>
      </c>
      <c r="B35" s="79" t="s">
        <v>92</v>
      </c>
      <c r="C35" s="83" t="s">
        <v>123</v>
      </c>
      <c r="D35" s="84">
        <v>4253</v>
      </c>
      <c r="E35" s="91">
        <v>1424200000</v>
      </c>
    </row>
    <row r="36" spans="1:5" ht="15.75" x14ac:dyDescent="0.25">
      <c r="A36" s="82" t="s">
        <v>70</v>
      </c>
      <c r="B36" s="79" t="s">
        <v>103</v>
      </c>
      <c r="C36" s="83" t="s">
        <v>127</v>
      </c>
      <c r="D36" s="84">
        <v>1428</v>
      </c>
      <c r="E36" s="85">
        <v>4424800000</v>
      </c>
    </row>
    <row r="37" spans="1:5" ht="15.75" x14ac:dyDescent="0.25">
      <c r="A37" s="82" t="s">
        <v>72</v>
      </c>
      <c r="B37" s="79" t="s">
        <v>103</v>
      </c>
      <c r="C37" s="88" t="s">
        <v>118</v>
      </c>
      <c r="D37" s="84">
        <v>2159</v>
      </c>
      <c r="E37" s="85">
        <v>4425100000</v>
      </c>
    </row>
    <row r="38" spans="1:5" ht="15.75" x14ac:dyDescent="0.25">
      <c r="A38" s="82" t="s">
        <v>69</v>
      </c>
      <c r="B38" s="79" t="s">
        <v>103</v>
      </c>
      <c r="C38" s="83" t="s">
        <v>117</v>
      </c>
      <c r="D38" s="84">
        <v>1703</v>
      </c>
      <c r="E38" s="85">
        <v>4424000000</v>
      </c>
    </row>
    <row r="39" spans="1:5" ht="15.75" x14ac:dyDescent="0.25">
      <c r="A39" s="82" t="s">
        <v>74</v>
      </c>
      <c r="B39" s="79" t="s">
        <v>103</v>
      </c>
      <c r="C39" s="83" t="s">
        <v>117</v>
      </c>
      <c r="D39" s="84">
        <v>1400</v>
      </c>
      <c r="E39" s="85">
        <v>4425400000</v>
      </c>
    </row>
    <row r="40" spans="1:5" ht="15.75" x14ac:dyDescent="0.25">
      <c r="A40" s="82" t="s">
        <v>34</v>
      </c>
      <c r="B40" s="79" t="s">
        <v>92</v>
      </c>
      <c r="C40" s="83" t="s">
        <v>125</v>
      </c>
      <c r="D40" s="84">
        <v>12147</v>
      </c>
      <c r="E40" s="85">
        <v>1421200000</v>
      </c>
    </row>
    <row r="41" spans="1:5" ht="15.75" x14ac:dyDescent="0.25">
      <c r="A41" s="87" t="s">
        <v>37</v>
      </c>
      <c r="B41" s="79" t="s">
        <v>92</v>
      </c>
      <c r="C41" s="83" t="s">
        <v>125</v>
      </c>
      <c r="D41" s="84">
        <v>14593</v>
      </c>
      <c r="E41" s="90">
        <v>1421500000</v>
      </c>
    </row>
    <row r="42" spans="1:5" ht="15.75" x14ac:dyDescent="0.25">
      <c r="A42" s="82" t="s">
        <v>39</v>
      </c>
      <c r="B42" s="79" t="s">
        <v>92</v>
      </c>
      <c r="C42" s="83" t="s">
        <v>125</v>
      </c>
      <c r="D42" s="84">
        <v>500</v>
      </c>
      <c r="E42" s="93">
        <v>1421700000</v>
      </c>
    </row>
    <row r="43" spans="1:5" ht="15.75" x14ac:dyDescent="0.25">
      <c r="A43" s="82" t="s">
        <v>31</v>
      </c>
      <c r="B43" s="79" t="s">
        <v>92</v>
      </c>
      <c r="C43" s="83" t="s">
        <v>125</v>
      </c>
      <c r="D43" s="84">
        <v>5664</v>
      </c>
      <c r="E43" s="85">
        <v>1414800000</v>
      </c>
    </row>
    <row r="44" spans="1:5" ht="15.75" x14ac:dyDescent="0.25">
      <c r="A44" s="94" t="s">
        <v>51</v>
      </c>
      <c r="B44" s="79" t="s">
        <v>92</v>
      </c>
      <c r="C44" s="83" t="s">
        <v>121</v>
      </c>
      <c r="D44" s="84">
        <v>1000</v>
      </c>
      <c r="E44" s="85">
        <v>1425500000</v>
      </c>
    </row>
    <row r="45" spans="1:5" ht="15.75" x14ac:dyDescent="0.25">
      <c r="D45" s="95"/>
      <c r="E45" s="95"/>
    </row>
    <row r="46" spans="1:5" ht="15.75" x14ac:dyDescent="0.25">
      <c r="D46" s="95"/>
      <c r="E46" s="95"/>
    </row>
    <row r="47" spans="1:5" ht="15.75" x14ac:dyDescent="0.25">
      <c r="D47" s="95"/>
      <c r="E47" s="95"/>
    </row>
    <row r="48" spans="1:5" ht="15.75" x14ac:dyDescent="0.25">
      <c r="D48" s="95"/>
      <c r="E48" s="95"/>
    </row>
    <row r="49" spans="4:5" customFormat="1" ht="15.75" x14ac:dyDescent="0.25">
      <c r="D49" s="95"/>
      <c r="E49" s="95"/>
    </row>
    <row r="50" spans="4:5" customFormat="1" ht="15.75" x14ac:dyDescent="0.25">
      <c r="D50" s="95"/>
      <c r="E50" s="95"/>
    </row>
    <row r="51" spans="4:5" customFormat="1" ht="15.75" x14ac:dyDescent="0.25">
      <c r="D51" s="95"/>
      <c r="E51" s="95"/>
    </row>
    <row r="52" spans="4:5" customFormat="1" ht="15.75" x14ac:dyDescent="0.25">
      <c r="D52" s="95"/>
      <c r="E52" s="95"/>
    </row>
    <row r="53" spans="4:5" customFormat="1" ht="15.75" x14ac:dyDescent="0.25">
      <c r="D53" s="95"/>
      <c r="E53" s="95"/>
    </row>
    <row r="54" spans="4:5" customFormat="1" ht="15.75" x14ac:dyDescent="0.25">
      <c r="D54" s="95"/>
      <c r="E54" s="95"/>
    </row>
    <row r="55" spans="4:5" customFormat="1" ht="15.75" x14ac:dyDescent="0.25">
      <c r="D55" s="95"/>
      <c r="E55" s="95"/>
    </row>
    <row r="56" spans="4:5" customFormat="1" ht="15.75" x14ac:dyDescent="0.25">
      <c r="D56" s="95"/>
      <c r="E56" s="95"/>
    </row>
    <row r="57" spans="4:5" customFormat="1" ht="15.75" x14ac:dyDescent="0.25">
      <c r="D57" s="95"/>
      <c r="E57" s="95"/>
    </row>
    <row r="58" spans="4:5" customFormat="1" x14ac:dyDescent="0.2">
      <c r="D58" s="96"/>
      <c r="E58" s="96"/>
    </row>
    <row r="59" spans="4:5" customFormat="1" x14ac:dyDescent="0.2">
      <c r="D59" s="96"/>
      <c r="E59" s="96"/>
    </row>
    <row r="60" spans="4:5" customFormat="1" x14ac:dyDescent="0.2">
      <c r="D60" s="96"/>
      <c r="E60" s="96"/>
    </row>
    <row r="61" spans="4:5" customFormat="1" x14ac:dyDescent="0.2">
      <c r="D61" s="96"/>
      <c r="E61" s="96"/>
    </row>
    <row r="62" spans="4:5" customFormat="1" x14ac:dyDescent="0.2">
      <c r="D62" s="96"/>
      <c r="E62" s="96"/>
    </row>
    <row r="63" spans="4:5" customFormat="1" x14ac:dyDescent="0.2">
      <c r="D63" s="96"/>
      <c r="E63" s="96"/>
    </row>
    <row r="64" spans="4:5" customFormat="1" x14ac:dyDescent="0.2">
      <c r="D64" s="96"/>
      <c r="E64" s="96"/>
    </row>
    <row r="65" spans="5:5" customFormat="1" x14ac:dyDescent="0.2">
      <c r="E65" s="96"/>
    </row>
    <row r="66" spans="5:5" customFormat="1" x14ac:dyDescent="0.2">
      <c r="E66" s="96"/>
    </row>
    <row r="67" spans="5:5" customFormat="1" x14ac:dyDescent="0.2">
      <c r="E67" s="96"/>
    </row>
    <row r="68" spans="5:5" customFormat="1" x14ac:dyDescent="0.2">
      <c r="E68" s="96"/>
    </row>
    <row r="69" spans="5:5" customFormat="1" x14ac:dyDescent="0.2">
      <c r="E69" s="96"/>
    </row>
    <row r="70" spans="5:5" customFormat="1" x14ac:dyDescent="0.2">
      <c r="E70" s="96"/>
    </row>
    <row r="71" spans="5:5" customFormat="1" x14ac:dyDescent="0.2">
      <c r="E71" s="96"/>
    </row>
    <row r="72" spans="5:5" customFormat="1" x14ac:dyDescent="0.2">
      <c r="E72" s="96"/>
    </row>
    <row r="73" spans="5:5" customFormat="1" x14ac:dyDescent="0.2">
      <c r="E73" s="96"/>
    </row>
    <row r="74" spans="5:5" customFormat="1" x14ac:dyDescent="0.2">
      <c r="E74" s="96"/>
    </row>
    <row r="75" spans="5:5" customFormat="1" x14ac:dyDescent="0.2">
      <c r="E75" s="96"/>
    </row>
    <row r="76" spans="5:5" customFormat="1" x14ac:dyDescent="0.2">
      <c r="E76" s="96"/>
    </row>
    <row r="77" spans="5:5" customFormat="1" x14ac:dyDescent="0.2">
      <c r="E77" s="96"/>
    </row>
    <row r="78" spans="5:5" customFormat="1" x14ac:dyDescent="0.2">
      <c r="E78" s="96"/>
    </row>
    <row r="79" spans="5:5" customFormat="1" x14ac:dyDescent="0.2">
      <c r="E79" s="96"/>
    </row>
    <row r="80" spans="5:5" customFormat="1" x14ac:dyDescent="0.2">
      <c r="E80" s="96"/>
    </row>
    <row r="81" spans="5:5" customFormat="1" x14ac:dyDescent="0.2">
      <c r="E81" s="96"/>
    </row>
    <row r="82" spans="5:5" customFormat="1" x14ac:dyDescent="0.2">
      <c r="E82" s="96"/>
    </row>
    <row r="83" spans="5:5" customFormat="1" x14ac:dyDescent="0.2">
      <c r="E83" s="96"/>
    </row>
    <row r="84" spans="5:5" customFormat="1" x14ac:dyDescent="0.2">
      <c r="E84" s="96"/>
    </row>
    <row r="85" spans="5:5" customFormat="1" x14ac:dyDescent="0.2">
      <c r="E85" s="96"/>
    </row>
    <row r="86" spans="5:5" customFormat="1" x14ac:dyDescent="0.2">
      <c r="E86" s="96"/>
    </row>
    <row r="87" spans="5:5" customFormat="1" x14ac:dyDescent="0.2">
      <c r="E87" s="96"/>
    </row>
    <row r="88" spans="5:5" customFormat="1" x14ac:dyDescent="0.2">
      <c r="E88" s="96"/>
    </row>
    <row r="89" spans="5:5" customFormat="1" x14ac:dyDescent="0.2">
      <c r="E89" s="96"/>
    </row>
    <row r="90" spans="5:5" customFormat="1" x14ac:dyDescent="0.2">
      <c r="E90" s="96"/>
    </row>
    <row r="91" spans="5:5" customFormat="1" x14ac:dyDescent="0.2">
      <c r="E91" s="96"/>
    </row>
    <row r="92" spans="5:5" customFormat="1" x14ac:dyDescent="0.2">
      <c r="E92" s="96"/>
    </row>
    <row r="93" spans="5:5" customFormat="1" x14ac:dyDescent="0.2">
      <c r="E93" s="96"/>
    </row>
    <row r="94" spans="5:5" customFormat="1" x14ac:dyDescent="0.2">
      <c r="E94" s="96"/>
    </row>
    <row r="95" spans="5:5" customFormat="1" x14ac:dyDescent="0.2">
      <c r="E95" s="96"/>
    </row>
    <row r="96" spans="5:5" customFormat="1" x14ac:dyDescent="0.2">
      <c r="E96" s="96"/>
    </row>
    <row r="97" spans="5:5" customFormat="1" x14ac:dyDescent="0.2">
      <c r="E97" s="96"/>
    </row>
    <row r="98" spans="5:5" customFormat="1" x14ac:dyDescent="0.2">
      <c r="E98" s="96"/>
    </row>
    <row r="99" spans="5:5" customFormat="1" x14ac:dyDescent="0.2">
      <c r="E99" s="96"/>
    </row>
    <row r="100" spans="5:5" customFormat="1" x14ac:dyDescent="0.2">
      <c r="E100" s="96"/>
    </row>
    <row r="101" spans="5:5" customFormat="1" x14ac:dyDescent="0.2">
      <c r="E101" s="96"/>
    </row>
    <row r="102" spans="5:5" customFormat="1" x14ac:dyDescent="0.2">
      <c r="E102" s="96"/>
    </row>
    <row r="103" spans="5:5" customFormat="1" x14ac:dyDescent="0.2">
      <c r="E103" s="96"/>
    </row>
    <row r="104" spans="5:5" customFormat="1" x14ac:dyDescent="0.2">
      <c r="E104" s="96"/>
    </row>
    <row r="105" spans="5:5" customFormat="1" x14ac:dyDescent="0.2">
      <c r="E105" s="96"/>
    </row>
    <row r="106" spans="5:5" customFormat="1" x14ac:dyDescent="0.2">
      <c r="E106" s="96"/>
    </row>
    <row r="107" spans="5:5" customFormat="1" x14ac:dyDescent="0.2">
      <c r="E107" s="96"/>
    </row>
    <row r="108" spans="5:5" customFormat="1" x14ac:dyDescent="0.2">
      <c r="E108" s="96"/>
    </row>
    <row r="109" spans="5:5" customFormat="1" x14ac:dyDescent="0.2">
      <c r="E109" s="96"/>
    </row>
    <row r="110" spans="5:5" customFormat="1" x14ac:dyDescent="0.2">
      <c r="E110" s="96"/>
    </row>
    <row r="111" spans="5:5" customFormat="1" x14ac:dyDescent="0.2">
      <c r="E111" s="96"/>
    </row>
    <row r="112" spans="5:5" customFormat="1" x14ac:dyDescent="0.2">
      <c r="E112" s="96"/>
    </row>
    <row r="113" spans="5:5" customFormat="1" x14ac:dyDescent="0.2">
      <c r="E113" s="96"/>
    </row>
    <row r="114" spans="5:5" customFormat="1" x14ac:dyDescent="0.2">
      <c r="E114" s="96"/>
    </row>
    <row r="115" spans="5:5" customFormat="1" x14ac:dyDescent="0.2">
      <c r="E115" s="96"/>
    </row>
    <row r="116" spans="5:5" customFormat="1" x14ac:dyDescent="0.2">
      <c r="E116" s="96"/>
    </row>
    <row r="117" spans="5:5" customFormat="1" x14ac:dyDescent="0.2">
      <c r="E117" s="96"/>
    </row>
    <row r="118" spans="5:5" customFormat="1" x14ac:dyDescent="0.2">
      <c r="E118" s="96"/>
    </row>
    <row r="119" spans="5:5" customFormat="1" x14ac:dyDescent="0.2">
      <c r="E119" s="96"/>
    </row>
    <row r="120" spans="5:5" customFormat="1" x14ac:dyDescent="0.2">
      <c r="E120" s="96"/>
    </row>
    <row r="121" spans="5:5" customFormat="1" x14ac:dyDescent="0.2">
      <c r="E121" s="96"/>
    </row>
    <row r="122" spans="5:5" customFormat="1" x14ac:dyDescent="0.2">
      <c r="E122" s="96"/>
    </row>
    <row r="123" spans="5:5" customFormat="1" x14ac:dyDescent="0.2">
      <c r="E123" s="96"/>
    </row>
    <row r="124" spans="5:5" customFormat="1" x14ac:dyDescent="0.2">
      <c r="E124" s="96"/>
    </row>
    <row r="125" spans="5:5" customFormat="1" x14ac:dyDescent="0.2">
      <c r="E125" s="96"/>
    </row>
    <row r="126" spans="5:5" customFormat="1" x14ac:dyDescent="0.2">
      <c r="E126" s="96"/>
    </row>
    <row r="127" spans="5:5" customFormat="1" x14ac:dyDescent="0.2">
      <c r="E127" s="96"/>
    </row>
    <row r="128" spans="5:5" customFormat="1" x14ac:dyDescent="0.2">
      <c r="E128" s="96"/>
    </row>
    <row r="129" spans="5:5" customFormat="1" x14ac:dyDescent="0.2">
      <c r="E129" s="96"/>
    </row>
    <row r="130" spans="5:5" customFormat="1" x14ac:dyDescent="0.2">
      <c r="E130" s="96"/>
    </row>
    <row r="131" spans="5:5" customFormat="1" x14ac:dyDescent="0.2">
      <c r="E131" s="96"/>
    </row>
    <row r="132" spans="5:5" customFormat="1" x14ac:dyDescent="0.2">
      <c r="E132" s="96"/>
    </row>
    <row r="133" spans="5:5" customFormat="1" x14ac:dyDescent="0.2">
      <c r="E133" s="96"/>
    </row>
    <row r="134" spans="5:5" customFormat="1" x14ac:dyDescent="0.2">
      <c r="E134" s="96"/>
    </row>
    <row r="135" spans="5:5" customFormat="1" x14ac:dyDescent="0.2">
      <c r="E135" s="96"/>
    </row>
  </sheetData>
  <autoFilter ref="A1:E44"/>
  <sortState ref="A2:E44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90" zoomScaleNormal="90" zoomScalePageLayoutView="90" workbookViewId="0">
      <selection activeCell="E23" sqref="E23:E28"/>
    </sheetView>
  </sheetViews>
  <sheetFormatPr defaultColWidth="10.7109375" defaultRowHeight="15" x14ac:dyDescent="0.2"/>
  <cols>
    <col min="1" max="1" width="14" style="34" customWidth="1"/>
    <col min="2" max="2" width="10.7109375" style="34"/>
    <col min="3" max="3" width="28.7109375" style="34" customWidth="1"/>
    <col min="4" max="4" width="11" style="34" bestFit="1" customWidth="1"/>
    <col min="5" max="12" width="11" style="34" customWidth="1"/>
    <col min="13" max="13" width="13.140625" style="34" customWidth="1"/>
    <col min="14" max="14" width="12.42578125" style="100" customWidth="1"/>
    <col min="15" max="16" width="10.7109375" style="34"/>
    <col min="17" max="17" width="14" style="34" customWidth="1"/>
    <col min="18" max="18" width="13.7109375" style="34" customWidth="1"/>
    <col min="19" max="19" width="11.7109375" style="34" customWidth="1"/>
    <col min="20" max="23" width="11.7109375" style="34" bestFit="1" customWidth="1"/>
    <col min="24" max="24" width="12.7109375" style="34" bestFit="1" customWidth="1"/>
    <col min="25" max="25" width="11.7109375" style="34" bestFit="1" customWidth="1"/>
    <col min="26" max="16384" width="10.7109375" style="34"/>
  </cols>
  <sheetData>
    <row r="1" spans="1:29" ht="95.25" thickBot="1" x14ac:dyDescent="0.25">
      <c r="A1" s="98" t="s">
        <v>0</v>
      </c>
      <c r="B1" s="99" t="s">
        <v>131</v>
      </c>
      <c r="C1" s="123" t="s">
        <v>143</v>
      </c>
      <c r="D1" s="124" t="s">
        <v>5</v>
      </c>
      <c r="E1" s="124" t="s">
        <v>134</v>
      </c>
      <c r="F1" s="124" t="s">
        <v>154</v>
      </c>
      <c r="G1" s="124" t="s">
        <v>155</v>
      </c>
      <c r="H1" s="124" t="s">
        <v>144</v>
      </c>
      <c r="I1" s="124" t="s">
        <v>152</v>
      </c>
      <c r="J1" s="129" t="s">
        <v>145</v>
      </c>
      <c r="K1" s="124" t="s">
        <v>153</v>
      </c>
      <c r="L1" s="124" t="s">
        <v>102</v>
      </c>
      <c r="M1" s="124" t="s">
        <v>157</v>
      </c>
      <c r="N1" s="125" t="s">
        <v>8</v>
      </c>
      <c r="P1" s="115" t="s">
        <v>135</v>
      </c>
      <c r="Q1" s="116" t="s">
        <v>121</v>
      </c>
      <c r="R1" s="116" t="s">
        <v>122</v>
      </c>
      <c r="S1" s="116" t="s">
        <v>120</v>
      </c>
      <c r="T1" s="117" t="s">
        <v>126</v>
      </c>
      <c r="U1" s="116" t="s">
        <v>123</v>
      </c>
      <c r="V1" s="116" t="s">
        <v>119</v>
      </c>
      <c r="W1" s="116" t="s">
        <v>116</v>
      </c>
      <c r="X1" s="116" t="s">
        <v>125</v>
      </c>
      <c r="Y1" s="116" t="s">
        <v>129</v>
      </c>
      <c r="Z1" s="112"/>
      <c r="AA1" s="110" t="s">
        <v>133</v>
      </c>
      <c r="AC1" s="113" t="s">
        <v>136</v>
      </c>
    </row>
    <row r="2" spans="1:29" ht="15.75" x14ac:dyDescent="0.25">
      <c r="A2" s="106" t="s">
        <v>9</v>
      </c>
      <c r="B2" s="294" t="s">
        <v>92</v>
      </c>
      <c r="C2" s="293" t="s">
        <v>121</v>
      </c>
      <c r="D2" s="104">
        <v>1210</v>
      </c>
      <c r="E2" s="295">
        <f>SUM(D2:D7)</f>
        <v>12336</v>
      </c>
      <c r="F2" s="297">
        <v>24</v>
      </c>
      <c r="G2" s="312">
        <f>SUM(F2:F29)</f>
        <v>385</v>
      </c>
      <c r="H2" s="300">
        <v>68</v>
      </c>
      <c r="I2" s="315">
        <f>SUM(H2:H29)</f>
        <v>606</v>
      </c>
      <c r="J2" s="319">
        <v>68</v>
      </c>
      <c r="K2" s="317">
        <f>SUM(J2:J29)</f>
        <v>658</v>
      </c>
      <c r="L2" s="127">
        <f t="shared" ref="L2:L7" si="0">D2/12336</f>
        <v>9.8086900129701685E-2</v>
      </c>
      <c r="M2" s="121">
        <f>68*L2</f>
        <v>6.6699092088197149</v>
      </c>
      <c r="N2" s="101">
        <v>1410200000</v>
      </c>
      <c r="P2" s="113"/>
      <c r="Q2" s="118">
        <f>E2/198472</f>
        <v>6.2154863154500382E-2</v>
      </c>
      <c r="R2" s="114">
        <f>E8/198472</f>
        <v>2.5192470474424605E-2</v>
      </c>
      <c r="S2" s="114">
        <f>E10/198472</f>
        <v>8.5866016365028816E-2</v>
      </c>
      <c r="T2" s="114">
        <f>E12/198472</f>
        <v>0.20153976379539684</v>
      </c>
      <c r="U2" s="114">
        <f>E13/198472</f>
        <v>0.14776391632069008</v>
      </c>
      <c r="V2" s="114">
        <f>E16/198472</f>
        <v>3.2075053408037409E-2</v>
      </c>
      <c r="W2" s="114">
        <f>E21/198472</f>
        <v>4.5749526381555078E-2</v>
      </c>
      <c r="X2" s="114">
        <f>E23/198472</f>
        <v>0.27764117860453869</v>
      </c>
      <c r="Y2" s="114">
        <f>E29/198472</f>
        <v>0.12201721149582813</v>
      </c>
      <c r="AA2" s="34">
        <v>384</v>
      </c>
      <c r="AB2" s="34">
        <v>586</v>
      </c>
      <c r="AC2" s="69">
        <f>SUM(W1:W28)</f>
        <v>1383.8997541214881</v>
      </c>
    </row>
    <row r="3" spans="1:29" ht="15.75" x14ac:dyDescent="0.25">
      <c r="A3" s="106" t="s">
        <v>17</v>
      </c>
      <c r="B3" s="294"/>
      <c r="C3" s="293"/>
      <c r="D3" s="104">
        <v>3622</v>
      </c>
      <c r="E3" s="295"/>
      <c r="F3" s="299"/>
      <c r="G3" s="313"/>
      <c r="H3" s="301"/>
      <c r="I3" s="315"/>
      <c r="J3" s="311"/>
      <c r="K3" s="317"/>
      <c r="L3" s="127">
        <f t="shared" si="0"/>
        <v>0.29361219195849547</v>
      </c>
      <c r="M3" s="121">
        <f t="shared" ref="M3:M7" si="1">68*L3</f>
        <v>19.965629053177693</v>
      </c>
      <c r="N3" s="101">
        <v>1411300000</v>
      </c>
      <c r="P3" s="69" t="s">
        <v>113</v>
      </c>
      <c r="Q3" s="34" t="s">
        <v>142</v>
      </c>
      <c r="AC3" s="113" t="s">
        <v>137</v>
      </c>
    </row>
    <row r="4" spans="1:29" ht="15.75" x14ac:dyDescent="0.25">
      <c r="A4" s="106" t="s">
        <v>25</v>
      </c>
      <c r="B4" s="294"/>
      <c r="C4" s="293"/>
      <c r="D4" s="104">
        <v>2183</v>
      </c>
      <c r="E4" s="295"/>
      <c r="F4" s="299"/>
      <c r="G4" s="313"/>
      <c r="H4" s="301"/>
      <c r="I4" s="315"/>
      <c r="J4" s="311"/>
      <c r="K4" s="317"/>
      <c r="L4" s="127">
        <f t="shared" si="0"/>
        <v>0.17696173800259404</v>
      </c>
      <c r="M4" s="121">
        <f t="shared" si="1"/>
        <v>12.033398184176395</v>
      </c>
      <c r="N4" s="101">
        <v>1413200000</v>
      </c>
      <c r="P4" s="113" t="s">
        <v>137</v>
      </c>
      <c r="Q4" s="120">
        <f>384*Q2</f>
        <v>23.867467451328146</v>
      </c>
      <c r="R4" s="63">
        <f>384*R2</f>
        <v>9.6739086621790484</v>
      </c>
      <c r="S4" s="63">
        <f t="shared" ref="S4:Y4" si="2">384*S2</f>
        <v>32.972550284171064</v>
      </c>
      <c r="T4" s="63">
        <f t="shared" si="2"/>
        <v>77.391269297432387</v>
      </c>
      <c r="U4" s="63">
        <f t="shared" si="2"/>
        <v>56.741343867144991</v>
      </c>
      <c r="V4" s="63">
        <f t="shared" si="2"/>
        <v>12.316820508686366</v>
      </c>
      <c r="W4" s="63">
        <f t="shared" si="2"/>
        <v>17.56781813051715</v>
      </c>
      <c r="X4" s="63">
        <f t="shared" si="2"/>
        <v>106.61421258414285</v>
      </c>
      <c r="Y4" s="63">
        <f t="shared" si="2"/>
        <v>46.854609214398003</v>
      </c>
      <c r="AA4" s="119">
        <f>SUM(Q4:Y4)</f>
        <v>384</v>
      </c>
      <c r="AC4" s="63">
        <f>SUM(AD3:AL3)</f>
        <v>0</v>
      </c>
    </row>
    <row r="5" spans="1:29" ht="15.75" x14ac:dyDescent="0.25">
      <c r="A5" s="106" t="s">
        <v>28</v>
      </c>
      <c r="B5" s="294"/>
      <c r="C5" s="293"/>
      <c r="D5" s="104">
        <v>1321</v>
      </c>
      <c r="E5" s="295"/>
      <c r="F5" s="299"/>
      <c r="G5" s="313"/>
      <c r="H5" s="301"/>
      <c r="I5" s="315"/>
      <c r="J5" s="311"/>
      <c r="K5" s="317"/>
      <c r="L5" s="127">
        <f t="shared" si="0"/>
        <v>0.10708495460440985</v>
      </c>
      <c r="M5" s="121">
        <f t="shared" si="1"/>
        <v>7.2817769130998702</v>
      </c>
      <c r="N5" s="101">
        <v>1413600000</v>
      </c>
      <c r="P5" s="63" t="s">
        <v>139</v>
      </c>
      <c r="Q5" s="113">
        <v>68</v>
      </c>
      <c r="R5" s="113">
        <v>67</v>
      </c>
      <c r="S5" s="113">
        <v>68</v>
      </c>
      <c r="T5" s="113">
        <v>68</v>
      </c>
      <c r="U5" s="113">
        <v>68</v>
      </c>
      <c r="V5" s="113">
        <v>67</v>
      </c>
      <c r="W5" s="113">
        <v>68</v>
      </c>
      <c r="X5" s="113">
        <v>64</v>
      </c>
      <c r="Y5" s="113">
        <v>68</v>
      </c>
    </row>
    <row r="6" spans="1:29" ht="15.75" x14ac:dyDescent="0.25">
      <c r="A6" s="106" t="s">
        <v>29</v>
      </c>
      <c r="B6" s="294"/>
      <c r="C6" s="293"/>
      <c r="D6" s="104">
        <v>3000</v>
      </c>
      <c r="E6" s="295"/>
      <c r="F6" s="299"/>
      <c r="G6" s="313"/>
      <c r="H6" s="301"/>
      <c r="I6" s="315"/>
      <c r="J6" s="311"/>
      <c r="K6" s="317"/>
      <c r="L6" s="127">
        <f t="shared" si="0"/>
        <v>0.24319066147859922</v>
      </c>
      <c r="M6" s="121">
        <f t="shared" si="1"/>
        <v>16.536964980544745</v>
      </c>
      <c r="N6" s="101">
        <v>1413800000</v>
      </c>
    </row>
    <row r="7" spans="1:29" ht="15.75" x14ac:dyDescent="0.25">
      <c r="A7" s="106" t="s">
        <v>51</v>
      </c>
      <c r="B7" s="294"/>
      <c r="C7" s="293"/>
      <c r="D7" s="104">
        <v>1000</v>
      </c>
      <c r="E7" s="295"/>
      <c r="F7" s="298"/>
      <c r="G7" s="313"/>
      <c r="H7" s="302"/>
      <c r="I7" s="315"/>
      <c r="J7" s="310"/>
      <c r="K7" s="317"/>
      <c r="L7" s="127">
        <f t="shared" si="0"/>
        <v>8.1063553826199744E-2</v>
      </c>
      <c r="M7" s="121">
        <f t="shared" si="1"/>
        <v>5.5123216601815823</v>
      </c>
      <c r="N7" s="101">
        <v>1425500000</v>
      </c>
      <c r="P7" s="122" t="s">
        <v>138</v>
      </c>
      <c r="Q7" s="113" t="s">
        <v>141</v>
      </c>
      <c r="R7" s="113"/>
      <c r="S7" s="113"/>
      <c r="T7" s="113"/>
      <c r="U7" s="113"/>
      <c r="V7" s="113"/>
      <c r="W7" s="113"/>
      <c r="X7" s="113"/>
      <c r="Y7" s="113"/>
    </row>
    <row r="8" spans="1:29" ht="15.75" x14ac:dyDescent="0.25">
      <c r="A8" s="105" t="s">
        <v>14</v>
      </c>
      <c r="B8" s="294"/>
      <c r="C8" s="293" t="s">
        <v>122</v>
      </c>
      <c r="D8" s="104">
        <v>3000</v>
      </c>
      <c r="E8" s="295">
        <f>SUM(D8:D9)</f>
        <v>5000</v>
      </c>
      <c r="F8" s="297">
        <v>10</v>
      </c>
      <c r="G8" s="313"/>
      <c r="H8" s="300">
        <v>67</v>
      </c>
      <c r="I8" s="315"/>
      <c r="J8" s="309">
        <v>67</v>
      </c>
      <c r="K8" s="317"/>
      <c r="L8" s="127">
        <f>D8/5000</f>
        <v>0.6</v>
      </c>
      <c r="M8" s="121">
        <f>67*L8</f>
        <v>40.199999999999996</v>
      </c>
      <c r="N8" s="101">
        <v>1411200000</v>
      </c>
      <c r="P8" s="113" t="s">
        <v>137</v>
      </c>
      <c r="Q8" s="63">
        <f>662*Q2</f>
        <v>41.146519408279254</v>
      </c>
      <c r="R8" s="63">
        <f t="shared" ref="R8:Y8" si="3">662*R2</f>
        <v>16.677415454069088</v>
      </c>
      <c r="S8" s="63">
        <f t="shared" si="3"/>
        <v>56.843302833649076</v>
      </c>
      <c r="T8" s="63">
        <f t="shared" si="3"/>
        <v>133.4193236325527</v>
      </c>
      <c r="U8" s="63">
        <f t="shared" si="3"/>
        <v>97.819712604296839</v>
      </c>
      <c r="V8" s="63">
        <f t="shared" si="3"/>
        <v>21.233685356120766</v>
      </c>
      <c r="W8" s="63">
        <f t="shared" si="3"/>
        <v>30.286186464589463</v>
      </c>
      <c r="X8" s="63">
        <f t="shared" si="3"/>
        <v>183.79846023620462</v>
      </c>
      <c r="Y8" s="63">
        <f t="shared" si="3"/>
        <v>80.775394010238216</v>
      </c>
    </row>
    <row r="9" spans="1:29" ht="15.75" x14ac:dyDescent="0.25">
      <c r="A9" s="105" t="s">
        <v>22</v>
      </c>
      <c r="B9" s="294"/>
      <c r="C9" s="293"/>
      <c r="D9" s="104">
        <v>2000</v>
      </c>
      <c r="E9" s="295"/>
      <c r="F9" s="298"/>
      <c r="G9" s="313"/>
      <c r="H9" s="302"/>
      <c r="I9" s="315"/>
      <c r="J9" s="310"/>
      <c r="K9" s="317"/>
      <c r="L9" s="127">
        <f>D9/5000</f>
        <v>0.4</v>
      </c>
      <c r="M9" s="121">
        <f>67*L9</f>
        <v>26.8</v>
      </c>
      <c r="N9" s="101">
        <v>1412600000</v>
      </c>
    </row>
    <row r="10" spans="1:29" ht="15.75" x14ac:dyDescent="0.25">
      <c r="A10" s="105" t="s">
        <v>20</v>
      </c>
      <c r="B10" s="294"/>
      <c r="C10" s="293" t="s">
        <v>120</v>
      </c>
      <c r="D10" s="104">
        <v>8042</v>
      </c>
      <c r="E10" s="295">
        <f>SUM(D10:D11)</f>
        <v>17042</v>
      </c>
      <c r="F10" s="297">
        <v>33</v>
      </c>
      <c r="G10" s="313"/>
      <c r="H10" s="300">
        <v>68</v>
      </c>
      <c r="I10" s="315"/>
      <c r="J10" s="309">
        <v>68</v>
      </c>
      <c r="K10" s="317"/>
      <c r="L10" s="127">
        <f>D10/17042</f>
        <v>0.47189297030864924</v>
      </c>
      <c r="M10" s="121">
        <f>68*L10</f>
        <v>32.088721980988147</v>
      </c>
      <c r="N10" s="101">
        <v>1411700000</v>
      </c>
      <c r="P10" s="113" t="s">
        <v>94</v>
      </c>
      <c r="Q10" s="63">
        <f>SUM(Q4:T4)+Y4</f>
        <v>190.75980490950866</v>
      </c>
      <c r="R10" s="113" t="s">
        <v>140</v>
      </c>
    </row>
    <row r="11" spans="1:29" ht="15.75" x14ac:dyDescent="0.25">
      <c r="A11" s="105" t="s">
        <v>23</v>
      </c>
      <c r="B11" s="294"/>
      <c r="C11" s="293"/>
      <c r="D11" s="104">
        <v>9000</v>
      </c>
      <c r="E11" s="295"/>
      <c r="F11" s="298"/>
      <c r="G11" s="313"/>
      <c r="H11" s="302"/>
      <c r="I11" s="315"/>
      <c r="J11" s="310"/>
      <c r="K11" s="317"/>
      <c r="L11" s="127">
        <f>D11/17042</f>
        <v>0.52810702969135082</v>
      </c>
      <c r="M11" s="121">
        <f>68*L11</f>
        <v>35.911278019011853</v>
      </c>
      <c r="N11" s="101">
        <v>1412900000</v>
      </c>
      <c r="P11" s="113" t="s">
        <v>95</v>
      </c>
      <c r="Q11" s="63">
        <f>SUM(U4:X4)</f>
        <v>193.24019509049134</v>
      </c>
      <c r="R11" s="113" t="s">
        <v>140</v>
      </c>
    </row>
    <row r="12" spans="1:29" ht="15.75" x14ac:dyDescent="0.25">
      <c r="A12" s="105" t="s">
        <v>21</v>
      </c>
      <c r="B12" s="294"/>
      <c r="C12" s="107" t="s">
        <v>126</v>
      </c>
      <c r="D12" s="104">
        <v>40000</v>
      </c>
      <c r="E12" s="108">
        <f>SUM(D12)</f>
        <v>40000</v>
      </c>
      <c r="F12" s="108">
        <v>77</v>
      </c>
      <c r="G12" s="313"/>
      <c r="H12" s="126">
        <v>68</v>
      </c>
      <c r="I12" s="315"/>
      <c r="J12" s="130">
        <v>77</v>
      </c>
      <c r="K12" s="317"/>
      <c r="L12" s="127">
        <f>D12/40000</f>
        <v>1</v>
      </c>
      <c r="M12" s="108">
        <f>77*L12</f>
        <v>77</v>
      </c>
      <c r="N12" s="101">
        <v>1412300000</v>
      </c>
    </row>
    <row r="13" spans="1:29" ht="15.75" x14ac:dyDescent="0.25">
      <c r="A13" s="106" t="s">
        <v>27</v>
      </c>
      <c r="B13" s="294"/>
      <c r="C13" s="293" t="s">
        <v>123</v>
      </c>
      <c r="D13" s="109">
        <v>0</v>
      </c>
      <c r="E13" s="296">
        <f>SUM(D13:D15)</f>
        <v>29327</v>
      </c>
      <c r="F13" s="306">
        <v>57</v>
      </c>
      <c r="G13" s="313"/>
      <c r="H13" s="303">
        <v>68</v>
      </c>
      <c r="I13" s="315"/>
      <c r="J13" s="320">
        <v>68</v>
      </c>
      <c r="K13" s="317"/>
      <c r="L13" s="128">
        <f>D13/29327</f>
        <v>0</v>
      </c>
      <c r="M13" s="111">
        <f>68*L13</f>
        <v>0</v>
      </c>
      <c r="N13" s="103">
        <v>1423000000</v>
      </c>
    </row>
    <row r="14" spans="1:29" ht="15.75" x14ac:dyDescent="0.25">
      <c r="A14" s="105" t="s">
        <v>44</v>
      </c>
      <c r="B14" s="294"/>
      <c r="C14" s="293"/>
      <c r="D14" s="104">
        <v>25074</v>
      </c>
      <c r="E14" s="296"/>
      <c r="F14" s="307"/>
      <c r="G14" s="313"/>
      <c r="H14" s="304"/>
      <c r="I14" s="315"/>
      <c r="J14" s="321"/>
      <c r="K14" s="317"/>
      <c r="L14" s="127">
        <f>D14/29327</f>
        <v>0.85498005251133768</v>
      </c>
      <c r="M14" s="121">
        <f t="shared" ref="M14:M15" si="4">68*L14</f>
        <v>58.138643570770959</v>
      </c>
      <c r="N14" s="101">
        <v>1413300000</v>
      </c>
      <c r="Q14" s="119"/>
    </row>
    <row r="15" spans="1:29" ht="15.75" x14ac:dyDescent="0.25">
      <c r="A15" s="105" t="s">
        <v>50</v>
      </c>
      <c r="B15" s="294"/>
      <c r="C15" s="293"/>
      <c r="D15" s="104">
        <v>4253</v>
      </c>
      <c r="E15" s="296"/>
      <c r="F15" s="308"/>
      <c r="G15" s="313"/>
      <c r="H15" s="305"/>
      <c r="I15" s="315"/>
      <c r="J15" s="322"/>
      <c r="K15" s="317"/>
      <c r="L15" s="127">
        <f>D15/29327</f>
        <v>0.14501994748866232</v>
      </c>
      <c r="M15" s="121">
        <f t="shared" si="4"/>
        <v>9.861356429229037</v>
      </c>
      <c r="N15" s="101">
        <v>1424200000</v>
      </c>
    </row>
    <row r="16" spans="1:29" ht="15.75" x14ac:dyDescent="0.25">
      <c r="A16" s="105" t="s">
        <v>19</v>
      </c>
      <c r="B16" s="294"/>
      <c r="C16" s="293" t="s">
        <v>119</v>
      </c>
      <c r="D16" s="104">
        <v>3203</v>
      </c>
      <c r="E16" s="295">
        <f>SUM(D16:D20)</f>
        <v>6366</v>
      </c>
      <c r="F16" s="297">
        <v>12</v>
      </c>
      <c r="G16" s="313"/>
      <c r="H16" s="300">
        <v>67</v>
      </c>
      <c r="I16" s="315"/>
      <c r="J16" s="309">
        <v>67</v>
      </c>
      <c r="K16" s="317"/>
      <c r="L16" s="127">
        <f>D16/6366</f>
        <v>0.50314169022934341</v>
      </c>
      <c r="M16" s="121">
        <f>67*L16</f>
        <v>33.71049324536601</v>
      </c>
      <c r="N16" s="101">
        <v>1411500000</v>
      </c>
    </row>
    <row r="17" spans="1:23" ht="15.75" x14ac:dyDescent="0.25">
      <c r="A17" s="105" t="s">
        <v>40</v>
      </c>
      <c r="B17" s="294"/>
      <c r="C17" s="293"/>
      <c r="D17" s="104">
        <v>580</v>
      </c>
      <c r="E17" s="295"/>
      <c r="F17" s="299"/>
      <c r="G17" s="313"/>
      <c r="H17" s="301"/>
      <c r="I17" s="315"/>
      <c r="J17" s="311"/>
      <c r="K17" s="317"/>
      <c r="L17" s="127">
        <f>D17/6366</f>
        <v>9.1109016650958219E-2</v>
      </c>
      <c r="M17" s="121">
        <f t="shared" ref="M17:M20" si="5">67*L17</f>
        <v>6.1043041156142008</v>
      </c>
      <c r="N17" s="101">
        <v>1422000000</v>
      </c>
    </row>
    <row r="18" spans="1:23" ht="15.75" x14ac:dyDescent="0.25">
      <c r="A18" s="105" t="s">
        <v>41</v>
      </c>
      <c r="B18" s="294"/>
      <c r="C18" s="293"/>
      <c r="D18" s="104">
        <v>916</v>
      </c>
      <c r="E18" s="295"/>
      <c r="F18" s="299"/>
      <c r="G18" s="313"/>
      <c r="H18" s="301"/>
      <c r="I18" s="315"/>
      <c r="J18" s="311"/>
      <c r="K18" s="317"/>
      <c r="L18" s="127">
        <f>D18/6366</f>
        <v>0.14388941250392712</v>
      </c>
      <c r="M18" s="121">
        <f t="shared" si="5"/>
        <v>9.6405906377631165</v>
      </c>
      <c r="N18" s="101">
        <v>1422400000</v>
      </c>
      <c r="W18" s="34">
        <f>SUM(Q5:Y5)</f>
        <v>606</v>
      </c>
    </row>
    <row r="19" spans="1:23" ht="15.75" x14ac:dyDescent="0.25">
      <c r="A19" s="105" t="s">
        <v>42</v>
      </c>
      <c r="B19" s="294"/>
      <c r="C19" s="293"/>
      <c r="D19" s="104">
        <v>1030</v>
      </c>
      <c r="E19" s="295"/>
      <c r="F19" s="299"/>
      <c r="G19" s="313"/>
      <c r="H19" s="301"/>
      <c r="I19" s="315"/>
      <c r="J19" s="311"/>
      <c r="K19" s="317"/>
      <c r="L19" s="127">
        <f>D19/6366</f>
        <v>0.16179704681118443</v>
      </c>
      <c r="M19" s="121">
        <f t="shared" si="5"/>
        <v>10.840402136349356</v>
      </c>
      <c r="N19" s="101">
        <v>1422700000</v>
      </c>
      <c r="V19" s="34" t="s">
        <v>138</v>
      </c>
      <c r="W19" s="34">
        <v>662</v>
      </c>
    </row>
    <row r="20" spans="1:23" ht="15.75" x14ac:dyDescent="0.25">
      <c r="A20" s="105" t="s">
        <v>32</v>
      </c>
      <c r="B20" s="294"/>
      <c r="C20" s="293"/>
      <c r="D20" s="104">
        <v>637</v>
      </c>
      <c r="E20" s="295"/>
      <c r="F20" s="298"/>
      <c r="G20" s="313"/>
      <c r="H20" s="302"/>
      <c r="I20" s="315"/>
      <c r="J20" s="310"/>
      <c r="K20" s="317"/>
      <c r="L20" s="127">
        <f>D20/6366</f>
        <v>0.10006283380458687</v>
      </c>
      <c r="M20" s="121">
        <f t="shared" si="5"/>
        <v>6.7042098649073205</v>
      </c>
      <c r="N20" s="101">
        <v>1420300000</v>
      </c>
    </row>
    <row r="21" spans="1:23" ht="15.75" x14ac:dyDescent="0.25">
      <c r="A21" s="105" t="s">
        <v>13</v>
      </c>
      <c r="B21" s="294"/>
      <c r="C21" s="293" t="s">
        <v>116</v>
      </c>
      <c r="D21" s="104">
        <v>6920</v>
      </c>
      <c r="E21" s="295">
        <f>SUM(D21:D22)</f>
        <v>9080</v>
      </c>
      <c r="F21" s="297">
        <v>18</v>
      </c>
      <c r="G21" s="313"/>
      <c r="H21" s="300">
        <v>68</v>
      </c>
      <c r="I21" s="315"/>
      <c r="J21" s="309">
        <v>68</v>
      </c>
      <c r="K21" s="317"/>
      <c r="L21" s="127">
        <f>D21/9080</f>
        <v>0.76211453744493396</v>
      </c>
      <c r="M21" s="121">
        <f>68*L21</f>
        <v>51.823788546255507</v>
      </c>
      <c r="N21" s="101">
        <v>1410300000</v>
      </c>
    </row>
    <row r="22" spans="1:23" ht="15.75" x14ac:dyDescent="0.25">
      <c r="A22" s="105" t="s">
        <v>33</v>
      </c>
      <c r="B22" s="294"/>
      <c r="C22" s="293"/>
      <c r="D22" s="104">
        <v>2160</v>
      </c>
      <c r="E22" s="295"/>
      <c r="F22" s="298"/>
      <c r="G22" s="313"/>
      <c r="H22" s="302"/>
      <c r="I22" s="315"/>
      <c r="J22" s="310"/>
      <c r="K22" s="317"/>
      <c r="L22" s="143">
        <f>D22/9080</f>
        <v>0.23788546255506607</v>
      </c>
      <c r="M22" s="121">
        <f>68*L22</f>
        <v>16.176211453744493</v>
      </c>
      <c r="N22" s="101">
        <v>1420900000</v>
      </c>
    </row>
    <row r="23" spans="1:23" ht="15.75" x14ac:dyDescent="0.25">
      <c r="A23" s="105" t="s">
        <v>45</v>
      </c>
      <c r="B23" s="294"/>
      <c r="C23" s="293" t="s">
        <v>125</v>
      </c>
      <c r="D23" s="104">
        <v>21000</v>
      </c>
      <c r="E23" s="295">
        <f>SUM(D23:D28)</f>
        <v>55104</v>
      </c>
      <c r="F23" s="297">
        <v>107</v>
      </c>
      <c r="G23" s="313"/>
      <c r="H23" s="300">
        <v>64</v>
      </c>
      <c r="I23" s="315"/>
      <c r="J23" s="309">
        <v>107</v>
      </c>
      <c r="K23" s="317"/>
      <c r="L23" s="127">
        <f t="shared" ref="L23:L28" si="6">D23/55104</f>
        <v>0.38109756097560976</v>
      </c>
      <c r="M23" s="121">
        <f>107*L23</f>
        <v>40.777439024390247</v>
      </c>
      <c r="N23" s="101">
        <v>1423300000</v>
      </c>
    </row>
    <row r="24" spans="1:23" ht="15.75" x14ac:dyDescent="0.25">
      <c r="A24" s="105" t="s">
        <v>48</v>
      </c>
      <c r="B24" s="294"/>
      <c r="C24" s="293"/>
      <c r="D24" s="104">
        <v>1200</v>
      </c>
      <c r="E24" s="295"/>
      <c r="F24" s="299"/>
      <c r="G24" s="313"/>
      <c r="H24" s="301"/>
      <c r="I24" s="315"/>
      <c r="J24" s="311"/>
      <c r="K24" s="317"/>
      <c r="L24" s="127">
        <f t="shared" si="6"/>
        <v>2.1777003484320559E-2</v>
      </c>
      <c r="M24" s="121">
        <f t="shared" ref="M24:M28" si="7">107*L24</f>
        <v>2.3301393728222997</v>
      </c>
      <c r="N24" s="102">
        <v>1423900000</v>
      </c>
    </row>
    <row r="25" spans="1:23" ht="15.75" x14ac:dyDescent="0.25">
      <c r="A25" s="105" t="s">
        <v>34</v>
      </c>
      <c r="B25" s="294"/>
      <c r="C25" s="293"/>
      <c r="D25" s="104">
        <v>12147</v>
      </c>
      <c r="E25" s="295"/>
      <c r="F25" s="299"/>
      <c r="G25" s="313"/>
      <c r="H25" s="301"/>
      <c r="I25" s="315"/>
      <c r="J25" s="311"/>
      <c r="K25" s="317"/>
      <c r="L25" s="127">
        <f t="shared" si="6"/>
        <v>0.22043771777003485</v>
      </c>
      <c r="M25" s="121">
        <f t="shared" si="7"/>
        <v>23.586835801393729</v>
      </c>
      <c r="N25" s="101">
        <v>1421200000</v>
      </c>
    </row>
    <row r="26" spans="1:23" ht="15.75" x14ac:dyDescent="0.25">
      <c r="A26" s="106" t="s">
        <v>37</v>
      </c>
      <c r="B26" s="294"/>
      <c r="C26" s="293"/>
      <c r="D26" s="104">
        <v>14593</v>
      </c>
      <c r="E26" s="295"/>
      <c r="F26" s="299"/>
      <c r="G26" s="313"/>
      <c r="H26" s="301"/>
      <c r="I26" s="315"/>
      <c r="J26" s="311"/>
      <c r="K26" s="317"/>
      <c r="L26" s="127">
        <f t="shared" si="6"/>
        <v>0.2648265098722416</v>
      </c>
      <c r="M26" s="121">
        <f t="shared" si="7"/>
        <v>28.336436556329851</v>
      </c>
      <c r="N26" s="103">
        <v>1421500000</v>
      </c>
    </row>
    <row r="27" spans="1:23" ht="15.75" x14ac:dyDescent="0.25">
      <c r="A27" s="105" t="s">
        <v>39</v>
      </c>
      <c r="B27" s="294"/>
      <c r="C27" s="293"/>
      <c r="D27" s="104">
        <v>500</v>
      </c>
      <c r="E27" s="295"/>
      <c r="F27" s="299"/>
      <c r="G27" s="313"/>
      <c r="H27" s="301"/>
      <c r="I27" s="315"/>
      <c r="J27" s="311"/>
      <c r="K27" s="317"/>
      <c r="L27" s="127">
        <f t="shared" si="6"/>
        <v>9.0737514518002323E-3</v>
      </c>
      <c r="M27" s="121">
        <f t="shared" si="7"/>
        <v>0.97089140534262486</v>
      </c>
      <c r="N27" s="102">
        <v>1421700000</v>
      </c>
    </row>
    <row r="28" spans="1:23" ht="15.75" x14ac:dyDescent="0.25">
      <c r="A28" s="105" t="s">
        <v>31</v>
      </c>
      <c r="B28" s="294"/>
      <c r="C28" s="293"/>
      <c r="D28" s="104">
        <v>5664</v>
      </c>
      <c r="E28" s="295"/>
      <c r="F28" s="298"/>
      <c r="G28" s="313"/>
      <c r="H28" s="302"/>
      <c r="I28" s="315"/>
      <c r="J28" s="310"/>
      <c r="K28" s="317"/>
      <c r="L28" s="127">
        <f t="shared" si="6"/>
        <v>0.10278745644599303</v>
      </c>
      <c r="M28" s="121">
        <f t="shared" si="7"/>
        <v>10.998257839721255</v>
      </c>
      <c r="N28" s="101">
        <v>1414800000</v>
      </c>
    </row>
    <row r="29" spans="1:23" ht="16.5" thickBot="1" x14ac:dyDescent="0.3">
      <c r="A29" s="105" t="s">
        <v>30</v>
      </c>
      <c r="B29" s="294"/>
      <c r="C29" s="107" t="s">
        <v>129</v>
      </c>
      <c r="D29" s="104">
        <v>24217</v>
      </c>
      <c r="E29" s="108">
        <v>24217</v>
      </c>
      <c r="F29" s="108">
        <v>47</v>
      </c>
      <c r="G29" s="314"/>
      <c r="H29" s="126">
        <v>68</v>
      </c>
      <c r="I29" s="316"/>
      <c r="J29" s="131">
        <v>68</v>
      </c>
      <c r="K29" s="318"/>
      <c r="L29" s="127">
        <f>D29/24217</f>
        <v>1</v>
      </c>
      <c r="M29" s="108">
        <f>68*L29</f>
        <v>68</v>
      </c>
      <c r="N29" s="101">
        <v>1414100000</v>
      </c>
    </row>
    <row r="30" spans="1:23" x14ac:dyDescent="0.2">
      <c r="C30" s="34" t="s">
        <v>132</v>
      </c>
      <c r="D30" s="34">
        <f>SUM(D2:D29)</f>
        <v>198472</v>
      </c>
    </row>
    <row r="41" spans="3:3" x14ac:dyDescent="0.2">
      <c r="C41" s="34">
        <f>15+28</f>
        <v>43</v>
      </c>
    </row>
  </sheetData>
  <autoFilter ref="A1:N29">
    <sortState ref="A2:F29">
      <sortCondition ref="C1:C29"/>
    </sortState>
  </autoFilter>
  <mergeCells count="39">
    <mergeCell ref="J21:J22"/>
    <mergeCell ref="J23:J28"/>
    <mergeCell ref="G2:G29"/>
    <mergeCell ref="I2:I29"/>
    <mergeCell ref="K2:K29"/>
    <mergeCell ref="J2:J7"/>
    <mergeCell ref="J8:J9"/>
    <mergeCell ref="J10:J11"/>
    <mergeCell ref="J13:J15"/>
    <mergeCell ref="J16:J20"/>
    <mergeCell ref="H21:H22"/>
    <mergeCell ref="H23:H28"/>
    <mergeCell ref="F21:F22"/>
    <mergeCell ref="F23:F28"/>
    <mergeCell ref="H2:H7"/>
    <mergeCell ref="H8:H9"/>
    <mergeCell ref="H10:H11"/>
    <mergeCell ref="H13:H15"/>
    <mergeCell ref="H16:H20"/>
    <mergeCell ref="F2:F7"/>
    <mergeCell ref="F8:F9"/>
    <mergeCell ref="F10:F11"/>
    <mergeCell ref="F13:F15"/>
    <mergeCell ref="F16:F20"/>
    <mergeCell ref="C23:C28"/>
    <mergeCell ref="B2:B29"/>
    <mergeCell ref="E2:E7"/>
    <mergeCell ref="E8:E9"/>
    <mergeCell ref="E10:E11"/>
    <mergeCell ref="E13:E15"/>
    <mergeCell ref="E16:E20"/>
    <mergeCell ref="E21:E22"/>
    <mergeCell ref="E23:E28"/>
    <mergeCell ref="C2:C7"/>
    <mergeCell ref="C8:C9"/>
    <mergeCell ref="C10:C11"/>
    <mergeCell ref="C13:C15"/>
    <mergeCell ref="C16:C20"/>
    <mergeCell ref="C21:C22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0" sqref="C20"/>
    </sheetView>
  </sheetViews>
  <sheetFormatPr defaultColWidth="11.5703125" defaultRowHeight="12.75" x14ac:dyDescent="0.2"/>
  <cols>
    <col min="3" max="3" width="19.7109375" customWidth="1"/>
    <col min="13" max="13" width="15.42578125" customWidth="1"/>
  </cols>
  <sheetData>
    <row r="1" spans="1:18" ht="78.75" x14ac:dyDescent="0.2">
      <c r="A1" s="80" t="s">
        <v>0</v>
      </c>
      <c r="B1" s="78" t="s">
        <v>131</v>
      </c>
      <c r="C1" s="80" t="s">
        <v>130</v>
      </c>
      <c r="D1" s="138" t="s">
        <v>5</v>
      </c>
      <c r="E1" s="124" t="s">
        <v>134</v>
      </c>
      <c r="F1" s="124" t="s">
        <v>149</v>
      </c>
      <c r="G1" s="124" t="s">
        <v>146</v>
      </c>
      <c r="H1" s="124" t="s">
        <v>147</v>
      </c>
      <c r="I1" s="144" t="s">
        <v>144</v>
      </c>
      <c r="J1" s="151" t="s">
        <v>145</v>
      </c>
      <c r="K1" s="124" t="s">
        <v>156</v>
      </c>
      <c r="L1" s="146" t="s">
        <v>102</v>
      </c>
      <c r="M1" s="124" t="s">
        <v>157</v>
      </c>
      <c r="N1" s="80" t="s">
        <v>8</v>
      </c>
      <c r="R1" s="35" t="s">
        <v>148</v>
      </c>
    </row>
    <row r="2" spans="1:18" ht="15.75" x14ac:dyDescent="0.25">
      <c r="A2" s="36" t="s">
        <v>60</v>
      </c>
      <c r="B2" s="325" t="s">
        <v>103</v>
      </c>
      <c r="C2" s="293" t="s">
        <v>117</v>
      </c>
      <c r="D2" s="37">
        <v>4687</v>
      </c>
      <c r="E2" s="324">
        <f>SUM(D2:D6)</f>
        <v>15248</v>
      </c>
      <c r="F2" s="327">
        <f>E2/63503</f>
        <v>0.24011464025321638</v>
      </c>
      <c r="G2" s="323">
        <f>382*F2</f>
        <v>91.723792576728655</v>
      </c>
      <c r="H2" s="323">
        <f>SUM(G2:G16)</f>
        <v>382</v>
      </c>
      <c r="I2" s="328">
        <v>68</v>
      </c>
      <c r="J2" s="331">
        <v>92</v>
      </c>
      <c r="K2" s="324">
        <f>SUM(J2:J16)</f>
        <v>459</v>
      </c>
      <c r="L2" s="152">
        <f>D2/15248</f>
        <v>0.30738457502623295</v>
      </c>
      <c r="M2" s="147">
        <f>92*L2</f>
        <v>28.279380902413433</v>
      </c>
      <c r="N2" s="132">
        <v>4420900000</v>
      </c>
    </row>
    <row r="3" spans="1:18" ht="15.75" x14ac:dyDescent="0.25">
      <c r="A3" s="39" t="s">
        <v>61</v>
      </c>
      <c r="B3" s="325"/>
      <c r="C3" s="293"/>
      <c r="D3" s="40">
        <v>4458</v>
      </c>
      <c r="E3" s="324"/>
      <c r="F3" s="327"/>
      <c r="G3" s="323"/>
      <c r="H3" s="324"/>
      <c r="I3" s="329"/>
      <c r="J3" s="332"/>
      <c r="K3" s="324"/>
      <c r="L3" s="152">
        <f t="shared" ref="L3:L6" si="0">D3/15248</f>
        <v>0.29236621196222456</v>
      </c>
      <c r="M3" s="147">
        <f t="shared" ref="M3:M6" si="1">92*L3</f>
        <v>26.897691500524658</v>
      </c>
      <c r="N3" s="133">
        <v>4421600000</v>
      </c>
    </row>
    <row r="4" spans="1:18" ht="15.75" x14ac:dyDescent="0.25">
      <c r="A4" s="39" t="s">
        <v>67</v>
      </c>
      <c r="B4" s="325"/>
      <c r="C4" s="293"/>
      <c r="D4" s="40">
        <v>3000</v>
      </c>
      <c r="E4" s="324"/>
      <c r="F4" s="327"/>
      <c r="G4" s="323"/>
      <c r="H4" s="324"/>
      <c r="I4" s="329"/>
      <c r="J4" s="332"/>
      <c r="K4" s="324"/>
      <c r="L4" s="152">
        <f t="shared" si="0"/>
        <v>0.19674711437565581</v>
      </c>
      <c r="M4" s="147">
        <f t="shared" si="1"/>
        <v>18.100734522560334</v>
      </c>
      <c r="N4" s="133">
        <v>4423300000</v>
      </c>
    </row>
    <row r="5" spans="1:18" ht="15.75" x14ac:dyDescent="0.25">
      <c r="A5" s="39" t="s">
        <v>69</v>
      </c>
      <c r="B5" s="325"/>
      <c r="C5" s="293"/>
      <c r="D5" s="40">
        <v>1703</v>
      </c>
      <c r="E5" s="324"/>
      <c r="F5" s="327"/>
      <c r="G5" s="323"/>
      <c r="H5" s="324"/>
      <c r="I5" s="329"/>
      <c r="J5" s="332"/>
      <c r="K5" s="324"/>
      <c r="L5" s="152">
        <f t="shared" si="0"/>
        <v>0.11168677859391396</v>
      </c>
      <c r="M5" s="147">
        <f t="shared" si="1"/>
        <v>10.275183630640084</v>
      </c>
      <c r="N5" s="133">
        <v>4424000000</v>
      </c>
    </row>
    <row r="6" spans="1:18" ht="15.75" x14ac:dyDescent="0.25">
      <c r="A6" s="43" t="s">
        <v>74</v>
      </c>
      <c r="B6" s="325"/>
      <c r="C6" s="293"/>
      <c r="D6" s="44">
        <v>1400</v>
      </c>
      <c r="E6" s="324"/>
      <c r="F6" s="327"/>
      <c r="G6" s="323"/>
      <c r="H6" s="324"/>
      <c r="I6" s="330"/>
      <c r="J6" s="333"/>
      <c r="K6" s="324"/>
      <c r="L6" s="152">
        <f t="shared" si="0"/>
        <v>9.1815320041972723E-2</v>
      </c>
      <c r="M6" s="147">
        <f t="shared" si="1"/>
        <v>8.4470094438614911</v>
      </c>
      <c r="N6" s="134">
        <v>4425400000</v>
      </c>
    </row>
    <row r="7" spans="1:18" ht="15.75" x14ac:dyDescent="0.25">
      <c r="A7" s="36" t="s">
        <v>59</v>
      </c>
      <c r="B7" s="325"/>
      <c r="C7" s="326" t="s">
        <v>118</v>
      </c>
      <c r="D7" s="37">
        <v>13000</v>
      </c>
      <c r="E7" s="324">
        <f>SUM(D7:D10)</f>
        <v>20531</v>
      </c>
      <c r="F7" s="327">
        <f>E7/63503</f>
        <v>0.32330756027274304</v>
      </c>
      <c r="G7" s="323">
        <f>382*F7</f>
        <v>123.50348802418785</v>
      </c>
      <c r="H7" s="324"/>
      <c r="I7" s="328">
        <v>68</v>
      </c>
      <c r="J7" s="331">
        <v>124</v>
      </c>
      <c r="K7" s="324"/>
      <c r="L7" s="152">
        <f>D7/20531</f>
        <v>0.63318883639374601</v>
      </c>
      <c r="M7" s="147">
        <f>124*L7</f>
        <v>78.515415712824506</v>
      </c>
      <c r="N7" s="132">
        <v>4420600000</v>
      </c>
    </row>
    <row r="8" spans="1:18" ht="15.75" x14ac:dyDescent="0.25">
      <c r="A8" s="39" t="s">
        <v>63</v>
      </c>
      <c r="B8" s="325"/>
      <c r="C8" s="326"/>
      <c r="D8" s="40">
        <v>2594</v>
      </c>
      <c r="E8" s="324"/>
      <c r="F8" s="327"/>
      <c r="G8" s="323"/>
      <c r="H8" s="324"/>
      <c r="I8" s="329"/>
      <c r="J8" s="332"/>
      <c r="K8" s="324"/>
      <c r="L8" s="152">
        <f t="shared" ref="L8:L10" si="2">D8/20531</f>
        <v>0.12634552627733672</v>
      </c>
      <c r="M8" s="147">
        <f t="shared" ref="M8:M10" si="3">124*L8</f>
        <v>15.666845258389754</v>
      </c>
      <c r="N8" s="133">
        <v>4422500000</v>
      </c>
    </row>
    <row r="9" spans="1:18" ht="15.75" x14ac:dyDescent="0.25">
      <c r="A9" s="39" t="s">
        <v>65</v>
      </c>
      <c r="B9" s="325"/>
      <c r="C9" s="326"/>
      <c r="D9" s="40">
        <v>2778</v>
      </c>
      <c r="E9" s="324"/>
      <c r="F9" s="327"/>
      <c r="G9" s="323"/>
      <c r="H9" s="324"/>
      <c r="I9" s="329"/>
      <c r="J9" s="332"/>
      <c r="K9" s="324"/>
      <c r="L9" s="152">
        <f t="shared" si="2"/>
        <v>0.13530758365398665</v>
      </c>
      <c r="M9" s="147">
        <f t="shared" si="3"/>
        <v>16.778140373094345</v>
      </c>
      <c r="N9" s="133">
        <v>4422800000</v>
      </c>
    </row>
    <row r="10" spans="1:18" ht="15.75" x14ac:dyDescent="0.25">
      <c r="A10" s="43" t="s">
        <v>72</v>
      </c>
      <c r="B10" s="325"/>
      <c r="C10" s="326"/>
      <c r="D10" s="44">
        <v>2159</v>
      </c>
      <c r="E10" s="324"/>
      <c r="F10" s="327"/>
      <c r="G10" s="323"/>
      <c r="H10" s="324"/>
      <c r="I10" s="330"/>
      <c r="J10" s="333"/>
      <c r="K10" s="324"/>
      <c r="L10" s="152">
        <f t="shared" si="2"/>
        <v>0.1051580536749306</v>
      </c>
      <c r="M10" s="147">
        <f t="shared" si="3"/>
        <v>13.039598655691394</v>
      </c>
      <c r="N10" s="134">
        <v>4425100000</v>
      </c>
    </row>
    <row r="11" spans="1:18" ht="15.75" x14ac:dyDescent="0.25">
      <c r="A11" s="135" t="s">
        <v>68</v>
      </c>
      <c r="B11" s="325"/>
      <c r="C11" s="107" t="s">
        <v>128</v>
      </c>
      <c r="D11" s="136">
        <v>400</v>
      </c>
      <c r="E11" s="140">
        <f>SUM(D11)</f>
        <v>400</v>
      </c>
      <c r="F11" s="141">
        <f>E11/63503</f>
        <v>6.2989150118892018E-3</v>
      </c>
      <c r="G11" s="142">
        <f>382*F11</f>
        <v>2.4061855345416752</v>
      </c>
      <c r="H11" s="324"/>
      <c r="I11" s="145">
        <v>58</v>
      </c>
      <c r="J11" s="150">
        <v>58</v>
      </c>
      <c r="K11" s="324"/>
      <c r="L11" s="152">
        <f>D11/400</f>
        <v>1</v>
      </c>
      <c r="M11" s="104">
        <f>58*L11</f>
        <v>58</v>
      </c>
      <c r="N11" s="137">
        <v>4423800000</v>
      </c>
    </row>
    <row r="12" spans="1:18" ht="15.75" x14ac:dyDescent="0.25">
      <c r="A12" s="36" t="s">
        <v>66</v>
      </c>
      <c r="B12" s="325"/>
      <c r="C12" s="293" t="s">
        <v>127</v>
      </c>
      <c r="D12" s="37">
        <v>6389</v>
      </c>
      <c r="E12" s="324">
        <f>SUM(D12:D13)</f>
        <v>7817</v>
      </c>
      <c r="F12" s="327">
        <f>E12/63503</f>
        <v>0.12309654661984473</v>
      </c>
      <c r="G12" s="323">
        <f>382*F12</f>
        <v>47.022880808780691</v>
      </c>
      <c r="H12" s="324"/>
      <c r="I12" s="328">
        <v>68</v>
      </c>
      <c r="J12" s="331">
        <v>68</v>
      </c>
      <c r="K12" s="324"/>
      <c r="L12" s="152">
        <f>D12/7817</f>
        <v>0.81732122297556609</v>
      </c>
      <c r="M12" s="148">
        <f>68*L12</f>
        <v>55.577843162338496</v>
      </c>
      <c r="N12" s="132">
        <v>4423100000</v>
      </c>
    </row>
    <row r="13" spans="1:18" ht="15.75" x14ac:dyDescent="0.25">
      <c r="A13" s="43" t="s">
        <v>70</v>
      </c>
      <c r="B13" s="325"/>
      <c r="C13" s="293"/>
      <c r="D13" s="44">
        <v>1428</v>
      </c>
      <c r="E13" s="324"/>
      <c r="F13" s="327"/>
      <c r="G13" s="323"/>
      <c r="H13" s="324"/>
      <c r="I13" s="330"/>
      <c r="J13" s="333"/>
      <c r="K13" s="324"/>
      <c r="L13" s="152">
        <f>D13/7817</f>
        <v>0.18267877702443391</v>
      </c>
      <c r="M13" s="148">
        <f>68*L13</f>
        <v>12.422156837661506</v>
      </c>
      <c r="N13" s="134">
        <v>4424800000</v>
      </c>
    </row>
    <row r="14" spans="1:18" ht="15.75" x14ac:dyDescent="0.25">
      <c r="A14" s="36" t="s">
        <v>52</v>
      </c>
      <c r="B14" s="325"/>
      <c r="C14" s="293" t="s">
        <v>124</v>
      </c>
      <c r="D14" s="37">
        <v>4663</v>
      </c>
      <c r="E14" s="324">
        <f>SUM(D14:D16)</f>
        <v>19507</v>
      </c>
      <c r="F14" s="327">
        <f>E14/63503</f>
        <v>0.30718233784230664</v>
      </c>
      <c r="G14" s="323">
        <f>382*F14</f>
        <v>117.34365305576114</v>
      </c>
      <c r="H14" s="324"/>
      <c r="I14" s="328">
        <v>68</v>
      </c>
      <c r="J14" s="331">
        <v>117</v>
      </c>
      <c r="K14" s="324"/>
      <c r="L14" s="152">
        <f>D14/19507</f>
        <v>0.2390423950376788</v>
      </c>
      <c r="M14" s="148">
        <f>117*L14</f>
        <v>27.967960219408418</v>
      </c>
      <c r="N14" s="132">
        <v>4411800000</v>
      </c>
    </row>
    <row r="15" spans="1:18" ht="15.75" x14ac:dyDescent="0.25">
      <c r="A15" s="39" t="s">
        <v>56</v>
      </c>
      <c r="B15" s="325"/>
      <c r="C15" s="293"/>
      <c r="D15" s="40">
        <v>3629</v>
      </c>
      <c r="E15" s="324"/>
      <c r="F15" s="327"/>
      <c r="G15" s="323"/>
      <c r="H15" s="324"/>
      <c r="I15" s="329"/>
      <c r="J15" s="332"/>
      <c r="K15" s="324"/>
      <c r="L15" s="152">
        <f t="shared" ref="L15:L16" si="4">D15/19507</f>
        <v>0.18603578202696469</v>
      </c>
      <c r="M15" s="148">
        <f t="shared" ref="M15:M16" si="5">117*L15</f>
        <v>21.76618649715487</v>
      </c>
      <c r="N15" s="133">
        <v>4412500000</v>
      </c>
    </row>
    <row r="16" spans="1:18" ht="16.5" thickBot="1" x14ac:dyDescent="0.3">
      <c r="A16" s="43" t="s">
        <v>58</v>
      </c>
      <c r="B16" s="325"/>
      <c r="C16" s="293"/>
      <c r="D16" s="44">
        <v>11215</v>
      </c>
      <c r="E16" s="324"/>
      <c r="F16" s="327"/>
      <c r="G16" s="323"/>
      <c r="H16" s="324"/>
      <c r="I16" s="330"/>
      <c r="J16" s="334"/>
      <c r="K16" s="324"/>
      <c r="L16" s="152">
        <f t="shared" si="4"/>
        <v>0.57492182293535654</v>
      </c>
      <c r="M16" s="149">
        <f t="shared" si="5"/>
        <v>67.265853283436712</v>
      </c>
      <c r="N16" s="134">
        <v>4412900000</v>
      </c>
    </row>
    <row r="18" spans="1:4" ht="15.75" x14ac:dyDescent="0.25">
      <c r="A18" s="139" t="s">
        <v>150</v>
      </c>
      <c r="D18">
        <f>SUM(D2:D16)</f>
        <v>63503</v>
      </c>
    </row>
    <row r="19" spans="1:4" ht="15.75" x14ac:dyDescent="0.25">
      <c r="A19" s="139" t="s">
        <v>151</v>
      </c>
      <c r="D19" s="40">
        <v>382</v>
      </c>
    </row>
  </sheetData>
  <autoFilter ref="A1:N1">
    <sortState ref="A2:E16">
      <sortCondition ref="C1:C16"/>
    </sortState>
  </autoFilter>
  <mergeCells count="27">
    <mergeCell ref="F12:F13"/>
    <mergeCell ref="F14:F16"/>
    <mergeCell ref="K2:K16"/>
    <mergeCell ref="I2:I6"/>
    <mergeCell ref="I7:I10"/>
    <mergeCell ref="I12:I13"/>
    <mergeCell ref="I14:I16"/>
    <mergeCell ref="J2:J6"/>
    <mergeCell ref="J7:J10"/>
    <mergeCell ref="J12:J13"/>
    <mergeCell ref="J14:J16"/>
    <mergeCell ref="H2:H16"/>
    <mergeCell ref="G2:G6"/>
    <mergeCell ref="G7:G10"/>
    <mergeCell ref="G12:G13"/>
    <mergeCell ref="B2:B16"/>
    <mergeCell ref="C2:C6"/>
    <mergeCell ref="C7:C10"/>
    <mergeCell ref="C12:C13"/>
    <mergeCell ref="C14:C16"/>
    <mergeCell ref="E2:E6"/>
    <mergeCell ref="E7:E10"/>
    <mergeCell ref="E12:E13"/>
    <mergeCell ref="E14:E16"/>
    <mergeCell ref="G14:G16"/>
    <mergeCell ref="F2:F6"/>
    <mergeCell ref="F7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Sample</vt:lpstr>
      <vt:lpstr>Population Dataset</vt:lpstr>
      <vt:lpstr>TotalSamples</vt:lpstr>
      <vt:lpstr>POP_DataSet</vt:lpstr>
      <vt:lpstr>Donetsk</vt:lpstr>
      <vt:lpstr>Luhansk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User</cp:lastModifiedBy>
  <dcterms:created xsi:type="dcterms:W3CDTF">2016-05-27T07:56:52Z</dcterms:created>
  <dcterms:modified xsi:type="dcterms:W3CDTF">2016-11-10T20:04:39Z</dcterms:modified>
</cp:coreProperties>
</file>